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U:\市民・国保課員\国保年金担当\国民健康保険\【国保料】\！試算表\令和7年度\"/>
    </mc:Choice>
  </mc:AlternateContent>
  <xr:revisionPtr revIDLastSave="0" documentId="13_ncr:1_{49D3170B-2056-4052-BA6D-530FB952BB6C}" xr6:coauthVersionLast="47" xr6:coauthVersionMax="47" xr10:uidLastSave="{00000000-0000-0000-0000-000000000000}"/>
  <bookViews>
    <workbookView xWindow="-108" yWindow="-108" windowWidth="23256" windowHeight="12576" xr2:uid="{4B74C27B-3C77-451F-A76D-FDACF0CD5726}"/>
  </bookViews>
  <sheets>
    <sheet name="注意事項" sheetId="10" r:id="rId1"/>
    <sheet name="R７年度綾部市国保料試算シート" sheetId="1" r:id="rId2"/>
    <sheet name="計算式" sheetId="2" r:id="rId3"/>
    <sheet name="源泉徴収票の見方" sheetId="4" r:id="rId4"/>
    <sheet name="確定申告書の見方" sheetId="8" r:id="rId5"/>
  </sheets>
  <definedNames>
    <definedName name="_xlnm.Print_Area" localSheetId="4">確定申告書の見方!$B$2:$L$49</definedName>
    <definedName name="_xlnm.Print_Area" localSheetId="2">計算式!$A$1:$R$64</definedName>
    <definedName name="_xlnm.Print_Area" localSheetId="3">源泉徴収票の見方!$B$2:$Y$22</definedName>
    <definedName name="_xlnm.Print_Area" localSheetId="0">注意事項!$A$1:$O$73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 i="2" l="1"/>
  <c r="M16" i="2"/>
  <c r="K33" i="2"/>
  <c r="K31" i="2"/>
  <c r="K14" i="2"/>
  <c r="J70" i="10" l="1"/>
  <c r="I70" i="10"/>
  <c r="J69" i="10"/>
  <c r="I69" i="10"/>
  <c r="J68" i="10"/>
  <c r="I68" i="10"/>
  <c r="J67" i="10"/>
  <c r="I67" i="10"/>
  <c r="J66" i="10"/>
  <c r="I66" i="10"/>
  <c r="K65" i="10"/>
  <c r="J65" i="10"/>
  <c r="I65" i="10"/>
  <c r="J50" i="10"/>
  <c r="J49" i="10"/>
  <c r="J47" i="10"/>
  <c r="J46" i="10"/>
  <c r="I46" i="10"/>
  <c r="J48" i="10" s="1"/>
  <c r="J45" i="10"/>
  <c r="J44" i="10"/>
  <c r="J43" i="10"/>
  <c r="J42" i="10"/>
  <c r="J41" i="10"/>
  <c r="J40" i="10"/>
  <c r="K40" i="10" l="1"/>
  <c r="Q17" i="1"/>
  <c r="Q16" i="1"/>
  <c r="Q15" i="1"/>
  <c r="Q14" i="1"/>
  <c r="Q13" i="1"/>
  <c r="M17" i="1"/>
  <c r="M16" i="1"/>
  <c r="M15" i="1"/>
  <c r="M14" i="1"/>
  <c r="M13" i="1"/>
  <c r="M12" i="1"/>
  <c r="Q12" i="1" s="1"/>
  <c r="M11" i="1"/>
  <c r="Q11" i="1" s="1"/>
  <c r="V7" i="2"/>
  <c r="K52" i="2"/>
  <c r="K50" i="2"/>
  <c r="K48" i="2"/>
  <c r="K35" i="2"/>
  <c r="K29" i="2"/>
  <c r="K16" i="2"/>
  <c r="K12" i="2"/>
  <c r="K10" i="2"/>
  <c r="Q20" i="1"/>
  <c r="C19" i="1"/>
  <c r="K17" i="1"/>
  <c r="K16" i="1"/>
  <c r="K15" i="1"/>
  <c r="K14" i="1"/>
  <c r="K13" i="1"/>
  <c r="K12" i="1"/>
  <c r="K11" i="1"/>
  <c r="L17" i="1"/>
  <c r="L16" i="1"/>
  <c r="L15" i="1"/>
  <c r="L14" i="1"/>
  <c r="L13" i="1"/>
  <c r="L12" i="1"/>
  <c r="L11" i="1"/>
  <c r="G18" i="1"/>
  <c r="P17" i="1"/>
  <c r="P16" i="1"/>
  <c r="P15" i="1"/>
  <c r="P14" i="1"/>
  <c r="P13" i="1"/>
  <c r="P12" i="1"/>
  <c r="P11" i="1"/>
  <c r="J17" i="1"/>
  <c r="J16" i="1"/>
  <c r="J15" i="1"/>
  <c r="J14" i="1"/>
  <c r="J13" i="1"/>
  <c r="J12" i="1"/>
  <c r="J11" i="1"/>
  <c r="G17" i="1"/>
  <c r="G16" i="1"/>
  <c r="G15" i="1"/>
  <c r="G14" i="1"/>
  <c r="G13" i="1"/>
  <c r="G12" i="1"/>
  <c r="G11" i="1"/>
  <c r="B17" i="1"/>
  <c r="B16" i="1"/>
  <c r="B15" i="1"/>
  <c r="B14" i="1"/>
  <c r="B13" i="1"/>
  <c r="B12" i="1"/>
  <c r="B11" i="1"/>
  <c r="E20" i="1" l="1"/>
  <c r="C20" i="1"/>
  <c r="F20" i="1"/>
  <c r="K19" i="1"/>
  <c r="H50" i="2" s="1"/>
  <c r="M50" i="2" s="1"/>
  <c r="M52" i="2" s="1"/>
  <c r="L19" i="1"/>
  <c r="W7" i="2" s="1"/>
  <c r="H33" i="2" s="1"/>
  <c r="M33" i="2" s="1"/>
  <c r="Q19" i="1"/>
  <c r="F48" i="2" s="1"/>
  <c r="G20" i="1"/>
  <c r="M19" i="1"/>
  <c r="F10" i="2" s="1"/>
  <c r="M10" i="2" s="1"/>
  <c r="D20" i="1" l="1"/>
  <c r="N8" i="1"/>
  <c r="T10" i="2"/>
  <c r="X7" i="2"/>
  <c r="H14" i="2"/>
  <c r="M14" i="2" s="1"/>
  <c r="F29" i="2"/>
  <c r="M29" i="2" s="1"/>
  <c r="M48" i="2"/>
  <c r="M8" i="1" l="1"/>
  <c r="T7" i="2" s="1"/>
  <c r="T16" i="2" s="1"/>
  <c r="H12" i="2"/>
  <c r="M12" i="2" s="1"/>
  <c r="M18" i="2" s="1"/>
  <c r="H31" i="2"/>
  <c r="M31" i="2" s="1"/>
  <c r="T29" i="2"/>
  <c r="M54" i="2"/>
  <c r="T48" i="2"/>
  <c r="M37" i="2" l="1"/>
  <c r="M59" i="2" s="1"/>
  <c r="T31" i="2"/>
  <c r="T12" i="2"/>
  <c r="T50" i="2"/>
  <c r="T52" i="2"/>
  <c r="T35" i="2"/>
  <c r="T18" i="2" l="1"/>
  <c r="T54" i="2"/>
  <c r="T37" i="2"/>
  <c r="T59" i="2" l="1"/>
  <c r="U59" i="2" s="1"/>
  <c r="Q59" i="2" s="1"/>
  <c r="L6" i="1"/>
  <c r="U58" i="2" l="1"/>
  <c r="Q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亀岡市役所</author>
  </authors>
  <commentList>
    <comment ref="K40" authorId="0" shapeId="0" xr:uid="{B83B85D7-50E6-4B54-841D-E997C644E772}">
      <text>
        <r>
          <rPr>
            <sz val="12"/>
            <color indexed="10"/>
            <rFont val="ＭＳ Ｐゴシック"/>
            <family val="3"/>
            <charset val="128"/>
          </rPr>
          <t>給与収入のみの人はこちらの金額を、試算シートの総所得金額等の欄に入力してください。</t>
        </r>
      </text>
    </comment>
    <comment ref="K65" authorId="0" shapeId="0" xr:uid="{B2970157-2691-4133-8C89-5CA9E9D1D3AE}">
      <text>
        <r>
          <rPr>
            <sz val="12"/>
            <color indexed="10"/>
            <rFont val="ＭＳ Ｐゴシック"/>
            <family val="3"/>
            <charset val="128"/>
          </rPr>
          <t xml:space="preserve">公的年金等収入のみの人はこちらの金額を、試算シートの総所得金額等の欄に入力してください。
給与所得と公的年金等に係る雑所得があり、その合計額が10万円を超える場合は、合計額から次の計算式の金額を引いた金額を、試算シートの総所得金額等の欄に入力してください。
　給与所得（最高10万円）＋公的年金等に係る雑所得（最高10万円）－10万円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池田 彩乃</author>
  </authors>
  <commentList>
    <comment ref="C5" authorId="0" shapeId="0" xr:uid="{315720FD-E4B0-468A-B104-E1F52FA66989}">
      <text>
        <r>
          <rPr>
            <sz val="11"/>
            <color indexed="81"/>
            <rFont val="MS P ゴシック"/>
            <family val="3"/>
            <charset val="128"/>
          </rPr>
          <t>①国保に加入する人数を入力。</t>
        </r>
      </text>
    </comment>
    <comment ref="C7" authorId="0" shapeId="0" xr:uid="{D9B27005-D87C-44EA-BF46-3150B3C9136C}">
      <text>
        <r>
          <rPr>
            <sz val="11"/>
            <color indexed="81"/>
            <rFont val="MS P ゴシック"/>
            <family val="3"/>
            <charset val="128"/>
          </rPr>
          <t>②給与所得や年金所得が
ある人の人数を入力。
（国保に加入していない
 世帯主（擬制世帯主）を
 含む）</t>
        </r>
      </text>
    </comment>
    <comment ref="C10" authorId="0" shapeId="0" xr:uid="{A253F5FB-39DA-417C-A1D6-4DB26C47DBF5}">
      <text>
        <r>
          <rPr>
            <sz val="11"/>
            <color indexed="81"/>
            <rFont val="MS P ゴシック"/>
            <family val="3"/>
            <charset val="128"/>
          </rPr>
          <t>③国保に加入する人の総所得金額等を入力。
所得がない場合は「０」を入力。</t>
        </r>
      </text>
    </comment>
    <comment ref="H10" authorId="0" shapeId="0" xr:uid="{97C7BC5A-88E2-452B-AAA5-1A6F885E0CC6}">
      <text>
        <r>
          <rPr>
            <sz val="11"/>
            <color indexed="81"/>
            <rFont val="MS P ゴシック"/>
            <family val="3"/>
            <charset val="128"/>
          </rPr>
          <t>④年齢を入力。
０歳の場合は「１」を入力。</t>
        </r>
      </text>
    </comment>
    <comment ref="C18" authorId="0" shapeId="0" xr:uid="{2E5448CB-65BA-4F9C-B55D-C5394723998A}">
      <text>
        <r>
          <rPr>
            <sz val="11"/>
            <color indexed="81"/>
            <rFont val="MS P ゴシック"/>
            <family val="3"/>
            <charset val="128"/>
          </rPr>
          <t>⑤擬制世帯主（国保に加入していない世帯主）がいる場合は、その人の総所得金額等を入力。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亀岡市役所</author>
  </authors>
  <commentList>
    <comment ref="K9" authorId="0" shapeId="0" xr:uid="{81512CFC-33CD-4198-AFE2-3D0146D2E08E}">
      <text>
        <r>
          <rPr>
            <sz val="12"/>
            <color indexed="10"/>
            <rFont val="ＭＳ Ｐゴシック"/>
            <family val="3"/>
            <charset val="128"/>
          </rPr>
          <t>給与収入のみの方は、給与所得控除後の金額（給与所得）を、試算シートの総所得金額等の欄に入力してください。
※</t>
        </r>
        <r>
          <rPr>
            <sz val="11"/>
            <color indexed="10"/>
            <rFont val="ＭＳ Ｐゴシック"/>
            <family val="3"/>
            <charset val="128"/>
          </rPr>
          <t>２か所以上の会社から給与を受け取られた場合は、「支払金額」欄を足し合わせてから給与所得を算出する必要があります。</t>
        </r>
      </text>
    </comment>
  </commentList>
</comments>
</file>

<file path=xl/sharedStrings.xml><?xml version="1.0" encoding="utf-8"?>
<sst xmlns="http://schemas.openxmlformats.org/spreadsheetml/2006/main" count="295" uniqueCount="182">
  <si>
    <t>内、給与所得者等の人数
（擬制世帯主を含む）</t>
    <rPh sb="0" eb="1">
      <t>ウチ</t>
    </rPh>
    <rPh sb="2" eb="4">
      <t>キュウヨ</t>
    </rPh>
    <rPh sb="4" eb="6">
      <t>ショトク</t>
    </rPh>
    <rPh sb="6" eb="7">
      <t>シャ</t>
    </rPh>
    <rPh sb="7" eb="8">
      <t>トウ</t>
    </rPh>
    <rPh sb="9" eb="11">
      <t>ニンズウ</t>
    </rPh>
    <rPh sb="13" eb="15">
      <t>ギセイ</t>
    </rPh>
    <rPh sb="15" eb="18">
      <t>セタイヌシ</t>
    </rPh>
    <rPh sb="19" eb="20">
      <t>フク</t>
    </rPh>
    <phoneticPr fontId="2"/>
  </si>
  <si>
    <t>円</t>
    <rPh sb="0" eb="1">
      <t>エン</t>
    </rPh>
    <phoneticPr fontId="2"/>
  </si>
  <si>
    <t>国民健康保険料（年額）</t>
    <rPh sb="0" eb="2">
      <t>コクミン</t>
    </rPh>
    <rPh sb="2" eb="4">
      <t>ケンコウ</t>
    </rPh>
    <rPh sb="4" eb="7">
      <t>ホケンリョウ</t>
    </rPh>
    <rPh sb="8" eb="10">
      <t>ネンガク</t>
    </rPh>
    <phoneticPr fontId="2"/>
  </si>
  <si>
    <t>法定軽減割合</t>
    <rPh sb="0" eb="2">
      <t>ホウテイ</t>
    </rPh>
    <rPh sb="2" eb="4">
      <t>ケイゲン</t>
    </rPh>
    <rPh sb="4" eb="6">
      <t>ワリアイ</t>
    </rPh>
    <phoneticPr fontId="2"/>
  </si>
  <si>
    <t>年齢</t>
    <rPh sb="0" eb="2">
      <t>ネンレイ</t>
    </rPh>
    <phoneticPr fontId="2"/>
  </si>
  <si>
    <t>未就学児
該当</t>
    <rPh sb="0" eb="4">
      <t>ミシュウガクジ</t>
    </rPh>
    <rPh sb="5" eb="7">
      <t>ガイトウ</t>
    </rPh>
    <phoneticPr fontId="2"/>
  </si>
  <si>
    <t>介護2号
該当</t>
    <rPh sb="0" eb="2">
      <t>カイゴ</t>
    </rPh>
    <rPh sb="3" eb="4">
      <t>ゴウ</t>
    </rPh>
    <rPh sb="5" eb="7">
      <t>ガイトウ</t>
    </rPh>
    <phoneticPr fontId="2"/>
  </si>
  <si>
    <t>擬制
世帯主</t>
    <rPh sb="0" eb="2">
      <t>ギセイ</t>
    </rPh>
    <rPh sb="3" eb="6">
      <t>セタイヌシ</t>
    </rPh>
    <phoneticPr fontId="2"/>
  </si>
  <si>
    <t>合計</t>
    <rPh sb="0" eb="2">
      <t>ゴウケイ</t>
    </rPh>
    <phoneticPr fontId="2"/>
  </si>
  <si>
    <t>円</t>
    <phoneticPr fontId="2"/>
  </si>
  <si>
    <t>国民健康保険
加入者数</t>
    <rPh sb="0" eb="2">
      <t>コクミン</t>
    </rPh>
    <rPh sb="2" eb="4">
      <t>ケンコウ</t>
    </rPh>
    <rPh sb="4" eb="6">
      <t>ホケン</t>
    </rPh>
    <rPh sb="7" eb="10">
      <t>カニュウシャ</t>
    </rPh>
    <rPh sb="10" eb="11">
      <t>スウ</t>
    </rPh>
    <phoneticPr fontId="2"/>
  </si>
  <si>
    <t>医療給付費分</t>
    <rPh sb="0" eb="2">
      <t>イリョウ</t>
    </rPh>
    <rPh sb="2" eb="4">
      <t>キュウフ</t>
    </rPh>
    <rPh sb="4" eb="5">
      <t>ヒ</t>
    </rPh>
    <rPh sb="5" eb="6">
      <t>ブン</t>
    </rPh>
    <phoneticPr fontId="10"/>
  </si>
  <si>
    <t>・・・</t>
    <phoneticPr fontId="10"/>
  </si>
  <si>
    <t>０歳から７４歳までの加入者該当</t>
    <rPh sb="1" eb="2">
      <t>サイ</t>
    </rPh>
    <rPh sb="6" eb="7">
      <t>サイ</t>
    </rPh>
    <rPh sb="10" eb="13">
      <t>カニュウシャ</t>
    </rPh>
    <rPh sb="13" eb="15">
      <t>ガイトウ</t>
    </rPh>
    <phoneticPr fontId="10"/>
  </si>
  <si>
    <t>法定軽減</t>
    <rPh sb="0" eb="2">
      <t>ホウテイ</t>
    </rPh>
    <rPh sb="2" eb="4">
      <t>ケイゲン</t>
    </rPh>
    <phoneticPr fontId="10"/>
  </si>
  <si>
    <t>収入</t>
    <rPh sb="0" eb="2">
      <t>シュウニュウ</t>
    </rPh>
    <phoneticPr fontId="10"/>
  </si>
  <si>
    <t>(7割 or 5割 or 2割)</t>
    <rPh sb="2" eb="3">
      <t>ワリ</t>
    </rPh>
    <rPh sb="8" eb="9">
      <t>ワリ</t>
    </rPh>
    <rPh sb="14" eb="15">
      <t>ワリ</t>
    </rPh>
    <phoneticPr fontId="10"/>
  </si>
  <si>
    <t>①所得割額</t>
    <rPh sb="1" eb="3">
      <t>ショトク</t>
    </rPh>
    <rPh sb="3" eb="4">
      <t>ワリ</t>
    </rPh>
    <rPh sb="4" eb="5">
      <t>ガク</t>
    </rPh>
    <phoneticPr fontId="10"/>
  </si>
  <si>
    <t>基準所得（前年中の所得－基礎控除４３万円）</t>
    <rPh sb="0" eb="2">
      <t>キジュン</t>
    </rPh>
    <rPh sb="2" eb="4">
      <t>ショトク</t>
    </rPh>
    <rPh sb="5" eb="8">
      <t>ゼンネンチュウ</t>
    </rPh>
    <rPh sb="9" eb="11">
      <t>ショトク</t>
    </rPh>
    <rPh sb="12" eb="14">
      <t>キソ</t>
    </rPh>
    <rPh sb="14" eb="16">
      <t>コウジョ</t>
    </rPh>
    <rPh sb="18" eb="20">
      <t>マンエン</t>
    </rPh>
    <phoneticPr fontId="10"/>
  </si>
  <si>
    <t>×</t>
    <phoneticPr fontId="10"/>
  </si>
  <si>
    <t>↓</t>
    <phoneticPr fontId="10"/>
  </si>
  <si>
    <t>②均等割額</t>
    <rPh sb="1" eb="3">
      <t>キントウ</t>
    </rPh>
    <rPh sb="3" eb="4">
      <t>ワ</t>
    </rPh>
    <rPh sb="4" eb="5">
      <t>ガク</t>
    </rPh>
    <phoneticPr fontId="10"/>
  </si>
  <si>
    <t>一人当たり</t>
    <rPh sb="0" eb="2">
      <t>ヒトリ</t>
    </rPh>
    <rPh sb="2" eb="3">
      <t>ア</t>
    </rPh>
    <phoneticPr fontId="10"/>
  </si>
  <si>
    <t>加入者数</t>
    <rPh sb="0" eb="3">
      <t>カニュウシャ</t>
    </rPh>
    <rPh sb="3" eb="4">
      <t>スウ</t>
    </rPh>
    <phoneticPr fontId="10"/>
  </si>
  <si>
    <t>③平等割額</t>
    <rPh sb="1" eb="3">
      <t>ビョウドウ</t>
    </rPh>
    <rPh sb="3" eb="4">
      <t>ワリ</t>
    </rPh>
    <rPh sb="4" eb="5">
      <t>ガク</t>
    </rPh>
    <phoneticPr fontId="10"/>
  </si>
  <si>
    <t>１世帯当たり</t>
    <rPh sb="1" eb="3">
      <t>セタイ</t>
    </rPh>
    <rPh sb="3" eb="4">
      <t>ア</t>
    </rPh>
    <phoneticPr fontId="10"/>
  </si>
  <si>
    <t>=</t>
    <phoneticPr fontId="10"/>
  </si>
  <si>
    <t>円</t>
    <rPh sb="0" eb="1">
      <t>エン</t>
    </rPh>
    <phoneticPr fontId="10"/>
  </si>
  <si>
    <t>所得割</t>
    <rPh sb="0" eb="2">
      <t>ショトク</t>
    </rPh>
    <rPh sb="2" eb="3">
      <t>ワリ</t>
    </rPh>
    <phoneticPr fontId="10"/>
  </si>
  <si>
    <t>人</t>
    <rPh sb="0" eb="1">
      <t>ヒト</t>
    </rPh>
    <phoneticPr fontId="10"/>
  </si>
  <si>
    <t>均等割</t>
    <rPh sb="0" eb="2">
      <t>キントウ</t>
    </rPh>
    <rPh sb="2" eb="3">
      <t>ワ</t>
    </rPh>
    <phoneticPr fontId="10"/>
  </si>
  <si>
    <t>平等割</t>
    <rPh sb="0" eb="2">
      <t>ビョウドウ</t>
    </rPh>
    <rPh sb="2" eb="3">
      <t>ワリ</t>
    </rPh>
    <phoneticPr fontId="10"/>
  </si>
  <si>
    <t>計（①＋②＋③）</t>
    <rPh sb="0" eb="1">
      <t>ケイ</t>
    </rPh>
    <phoneticPr fontId="10"/>
  </si>
  <si>
    <t>･･･Ａ</t>
    <phoneticPr fontId="10"/>
  </si>
  <si>
    <t>医療計</t>
    <rPh sb="0" eb="2">
      <t>イリョウ</t>
    </rPh>
    <rPh sb="2" eb="3">
      <t>ケイ</t>
    </rPh>
    <phoneticPr fontId="10"/>
  </si>
  <si>
    <t>■</t>
    <phoneticPr fontId="10"/>
  </si>
  <si>
    <t>賦課限度額</t>
    <rPh sb="0" eb="2">
      <t>フカ</t>
    </rPh>
    <rPh sb="2" eb="4">
      <t>ゲンド</t>
    </rPh>
    <rPh sb="4" eb="5">
      <t>ガク</t>
    </rPh>
    <phoneticPr fontId="10"/>
  </si>
  <si>
    <t>（１０円未満切捨て）</t>
    <rPh sb="3" eb="4">
      <t>エン</t>
    </rPh>
    <rPh sb="4" eb="6">
      <t>ミマン</t>
    </rPh>
    <rPh sb="6" eb="8">
      <t>キリス</t>
    </rPh>
    <phoneticPr fontId="10"/>
  </si>
  <si>
    <t>後期高齢者支援金分</t>
    <rPh sb="0" eb="2">
      <t>コウキ</t>
    </rPh>
    <rPh sb="2" eb="5">
      <t>コウレイシャ</t>
    </rPh>
    <rPh sb="5" eb="7">
      <t>シエン</t>
    </rPh>
    <rPh sb="7" eb="8">
      <t>キン</t>
    </rPh>
    <rPh sb="8" eb="9">
      <t>ブン</t>
    </rPh>
    <phoneticPr fontId="10"/>
  </si>
  <si>
    <t>･･･Ｂ</t>
    <phoneticPr fontId="10"/>
  </si>
  <si>
    <t>支援計</t>
    <rPh sb="0" eb="2">
      <t>シエン</t>
    </rPh>
    <rPh sb="2" eb="3">
      <t>ケイ</t>
    </rPh>
    <phoneticPr fontId="10"/>
  </si>
  <si>
    <t>介護納付金分</t>
    <rPh sb="0" eb="2">
      <t>カイゴ</t>
    </rPh>
    <rPh sb="2" eb="5">
      <t>ノウフキン</t>
    </rPh>
    <rPh sb="5" eb="6">
      <t>ブン</t>
    </rPh>
    <phoneticPr fontId="10"/>
  </si>
  <si>
    <t>４０歳から６４歳までの介護保険第２号被保険者該当</t>
    <rPh sb="2" eb="3">
      <t>サイ</t>
    </rPh>
    <rPh sb="7" eb="8">
      <t>サイ</t>
    </rPh>
    <rPh sb="11" eb="13">
      <t>カイゴ</t>
    </rPh>
    <rPh sb="13" eb="15">
      <t>ホケン</t>
    </rPh>
    <rPh sb="15" eb="16">
      <t>ダイ</t>
    </rPh>
    <rPh sb="17" eb="18">
      <t>ゴウ</t>
    </rPh>
    <rPh sb="18" eb="22">
      <t>ヒホケンシャ</t>
    </rPh>
    <rPh sb="22" eb="24">
      <t>ガイトウ</t>
    </rPh>
    <phoneticPr fontId="10"/>
  </si>
  <si>
    <t>･･･Ｃ</t>
    <phoneticPr fontId="10"/>
  </si>
  <si>
    <t>介護計</t>
    <rPh sb="0" eb="2">
      <t>カイゴ</t>
    </rPh>
    <rPh sb="2" eb="3">
      <t>ケイ</t>
    </rPh>
    <phoneticPr fontId="10"/>
  </si>
  <si>
    <t>※年齢到達による賦課計算の対象月に注意</t>
    <rPh sb="1" eb="3">
      <t>ネンレイ</t>
    </rPh>
    <rPh sb="3" eb="5">
      <t>トウタツ</t>
    </rPh>
    <rPh sb="8" eb="10">
      <t>フカ</t>
    </rPh>
    <rPh sb="10" eb="12">
      <t>ケイサン</t>
    </rPh>
    <rPh sb="13" eb="15">
      <t>タイショウ</t>
    </rPh>
    <rPh sb="15" eb="16">
      <t>ツキ</t>
    </rPh>
    <rPh sb="17" eb="19">
      <t>チュウイ</t>
    </rPh>
    <phoneticPr fontId="10"/>
  </si>
  <si>
    <t>合　　　計</t>
    <rPh sb="0" eb="1">
      <t>ゴウ</t>
    </rPh>
    <rPh sb="4" eb="5">
      <t>ケイ</t>
    </rPh>
    <phoneticPr fontId="10"/>
  </si>
  <si>
    <t>合　計</t>
    <rPh sb="0" eb="1">
      <t>ゴウ</t>
    </rPh>
    <rPh sb="2" eb="3">
      <t>ケイ</t>
    </rPh>
    <phoneticPr fontId="10"/>
  </si>
  <si>
    <t>注意）</t>
    <rPh sb="0" eb="2">
      <t>チュウイ</t>
    </rPh>
    <phoneticPr fontId="10"/>
  </si>
  <si>
    <t>○医療分、支援分、介護分それぞれにかかる保険料は、一体として徴収します。</t>
    <rPh sb="1" eb="3">
      <t>イリョウ</t>
    </rPh>
    <rPh sb="3" eb="4">
      <t>ブン</t>
    </rPh>
    <rPh sb="5" eb="7">
      <t>シエン</t>
    </rPh>
    <rPh sb="7" eb="8">
      <t>ブン</t>
    </rPh>
    <rPh sb="9" eb="11">
      <t>カイゴ</t>
    </rPh>
    <rPh sb="11" eb="12">
      <t>ブン</t>
    </rPh>
    <rPh sb="20" eb="22">
      <t>ホケン</t>
    </rPh>
    <rPh sb="22" eb="23">
      <t>リョウ</t>
    </rPh>
    <rPh sb="25" eb="27">
      <t>イッタイ</t>
    </rPh>
    <rPh sb="30" eb="32">
      <t>チョウシュウ</t>
    </rPh>
    <phoneticPr fontId="10"/>
  </si>
  <si>
    <t>○こちらは仮計算書となります。実際の軽減判定とは異なる場合がございます。</t>
    <rPh sb="15" eb="17">
      <t>ジッサイ</t>
    </rPh>
    <rPh sb="18" eb="20">
      <t>ケイゲン</t>
    </rPh>
    <rPh sb="20" eb="22">
      <t>ハンテイ</t>
    </rPh>
    <rPh sb="24" eb="25">
      <t>コト</t>
    </rPh>
    <rPh sb="27" eb="29">
      <t>バアイ</t>
    </rPh>
    <phoneticPr fontId="10"/>
  </si>
  <si>
    <t>○この保険料仮計算書は、あなたが入力した条件で計算した額です。所得や加入者等の条件が異なる場合は、</t>
    <rPh sb="3" eb="6">
      <t>ホケンリョウ</t>
    </rPh>
    <rPh sb="6" eb="7">
      <t>カリ</t>
    </rPh>
    <rPh sb="7" eb="10">
      <t>ケイサンショ</t>
    </rPh>
    <rPh sb="16" eb="18">
      <t>ニュウリョク</t>
    </rPh>
    <rPh sb="20" eb="22">
      <t>ジョウケン</t>
    </rPh>
    <rPh sb="23" eb="25">
      <t>ケイサン</t>
    </rPh>
    <rPh sb="27" eb="28">
      <t>ガク</t>
    </rPh>
    <rPh sb="31" eb="33">
      <t>ショトク</t>
    </rPh>
    <rPh sb="34" eb="38">
      <t>カニュウシャナド</t>
    </rPh>
    <rPh sb="39" eb="41">
      <t>ジョウケン</t>
    </rPh>
    <rPh sb="42" eb="43">
      <t>コト</t>
    </rPh>
    <rPh sb="45" eb="47">
      <t>バアイ</t>
    </rPh>
    <phoneticPr fontId="10"/>
  </si>
  <si>
    <t>　保険料額が変更されます。</t>
    <rPh sb="1" eb="3">
      <t>ホケン</t>
    </rPh>
    <rPh sb="3" eb="4">
      <t>リョウ</t>
    </rPh>
    <rPh sb="4" eb="5">
      <t>ガク</t>
    </rPh>
    <rPh sb="6" eb="8">
      <t>ヘンコウ</t>
    </rPh>
    <phoneticPr fontId="10"/>
  </si>
  <si>
    <t>こちらのシートは入力不要です。</t>
    <rPh sb="8" eb="10">
      <t>ニュウリョク</t>
    </rPh>
    <rPh sb="10" eb="12">
      <t>フヨウ</t>
    </rPh>
    <phoneticPr fontId="2"/>
  </si>
  <si>
    <t>②　総所得金額等について</t>
    <rPh sb="2" eb="5">
      <t>ソウショトク</t>
    </rPh>
    <rPh sb="5" eb="7">
      <t>キンガク</t>
    </rPh>
    <rPh sb="7" eb="8">
      <t>トウ</t>
    </rPh>
    <phoneticPr fontId="10"/>
  </si>
  <si>
    <t>　　● 給与所得は、給与収入の合計額から次のように求められます。</t>
    <rPh sb="4" eb="6">
      <t>キュウヨ</t>
    </rPh>
    <rPh sb="6" eb="8">
      <t>ショトク</t>
    </rPh>
    <rPh sb="10" eb="12">
      <t>キュウヨ</t>
    </rPh>
    <rPh sb="12" eb="14">
      <t>シュウニュウ</t>
    </rPh>
    <rPh sb="15" eb="17">
      <t>ゴウケイ</t>
    </rPh>
    <rPh sb="17" eb="18">
      <t>ガク</t>
    </rPh>
    <rPh sb="20" eb="21">
      <t>ツギ</t>
    </rPh>
    <rPh sb="25" eb="26">
      <t>モト</t>
    </rPh>
    <phoneticPr fontId="10"/>
  </si>
  <si>
    <t>（単位：円）</t>
    <rPh sb="1" eb="3">
      <t>タンイ</t>
    </rPh>
    <rPh sb="4" eb="5">
      <t>エン</t>
    </rPh>
    <phoneticPr fontId="10"/>
  </si>
  <si>
    <t>　　（給与収入が850万円を超える場合で所得調整控除額がある場合の計算には対応していません。）</t>
    <rPh sb="3" eb="5">
      <t>キュウヨ</t>
    </rPh>
    <rPh sb="5" eb="7">
      <t>シュウニュウ</t>
    </rPh>
    <rPh sb="11" eb="13">
      <t>マンエン</t>
    </rPh>
    <rPh sb="14" eb="15">
      <t>コ</t>
    </rPh>
    <rPh sb="17" eb="19">
      <t>バアイ</t>
    </rPh>
    <rPh sb="20" eb="22">
      <t>ショトク</t>
    </rPh>
    <rPh sb="22" eb="24">
      <t>チョウセイ</t>
    </rPh>
    <rPh sb="24" eb="26">
      <t>コウジョ</t>
    </rPh>
    <rPh sb="26" eb="27">
      <t>ガク</t>
    </rPh>
    <rPh sb="30" eb="32">
      <t>バアイ</t>
    </rPh>
    <rPh sb="33" eb="35">
      <t>ケイサン</t>
    </rPh>
    <rPh sb="37" eb="39">
      <t>タイオウ</t>
    </rPh>
    <phoneticPr fontId="10"/>
  </si>
  <si>
    <t>給与収入の合計額</t>
    <rPh sb="0" eb="2">
      <t>キュウヨ</t>
    </rPh>
    <rPh sb="2" eb="4">
      <t>シュウニュウ</t>
    </rPh>
    <rPh sb="5" eb="7">
      <t>ゴウケイ</t>
    </rPh>
    <rPh sb="7" eb="8">
      <t>ガク</t>
    </rPh>
    <phoneticPr fontId="10"/>
  </si>
  <si>
    <t>給与所得の金額</t>
    <rPh sb="0" eb="2">
      <t>キュウヨ</t>
    </rPh>
    <rPh sb="2" eb="4">
      <t>ショトク</t>
    </rPh>
    <rPh sb="5" eb="7">
      <t>キンガク</t>
    </rPh>
    <phoneticPr fontId="10"/>
  </si>
  <si>
    <t>550,999まで</t>
    <phoneticPr fontId="10"/>
  </si>
  <si>
    <t>1,628,000～1,799,999</t>
    <phoneticPr fontId="10"/>
  </si>
  <si>
    <t>551,000～1,618,999</t>
    <phoneticPr fontId="10"/>
  </si>
  <si>
    <t>収入金額－550,000</t>
    <rPh sb="0" eb="2">
      <t>シュウニュウ</t>
    </rPh>
    <rPh sb="2" eb="4">
      <t>キンガク</t>
    </rPh>
    <phoneticPr fontId="10"/>
  </si>
  <si>
    <t>1,800,000～3,599,999</t>
    <phoneticPr fontId="10"/>
  </si>
  <si>
    <t>Ａ×2.8-80,000</t>
    <phoneticPr fontId="10"/>
  </si>
  <si>
    <t>1,619,000～1,619,999</t>
    <phoneticPr fontId="10"/>
  </si>
  <si>
    <t>3,600,000～6,599,999</t>
    <phoneticPr fontId="10"/>
  </si>
  <si>
    <t>1,620,000～1,621,999</t>
    <phoneticPr fontId="10"/>
  </si>
  <si>
    <t>6,600,000～8,499,999</t>
    <phoneticPr fontId="10"/>
  </si>
  <si>
    <t>1,622,000～1,623,999</t>
    <phoneticPr fontId="10"/>
  </si>
  <si>
    <t>8,500,000以上</t>
    <rPh sb="9" eb="11">
      <t>イジョウ</t>
    </rPh>
    <phoneticPr fontId="10"/>
  </si>
  <si>
    <t>1,624,000～1,627,999</t>
    <phoneticPr fontId="10"/>
  </si>
  <si>
    <t>　　Ａ＝給与収入の合計額を４で割って千円未満の端数を切り捨てた金額</t>
    <rPh sb="4" eb="6">
      <t>キュウヨ</t>
    </rPh>
    <rPh sb="6" eb="8">
      <t>シュウニュウ</t>
    </rPh>
    <rPh sb="9" eb="11">
      <t>ゴウケイ</t>
    </rPh>
    <rPh sb="11" eb="12">
      <t>ガク</t>
    </rPh>
    <rPh sb="15" eb="16">
      <t>ワ</t>
    </rPh>
    <rPh sb="18" eb="20">
      <t>センエン</t>
    </rPh>
    <rPh sb="20" eb="22">
      <t>ミマン</t>
    </rPh>
    <rPh sb="23" eb="25">
      <t>ハスウ</t>
    </rPh>
    <rPh sb="26" eb="27">
      <t>キ</t>
    </rPh>
    <rPh sb="28" eb="29">
      <t>ス</t>
    </rPh>
    <rPh sb="31" eb="33">
      <t>キンガク</t>
    </rPh>
    <phoneticPr fontId="10"/>
  </si>
  <si>
    <t>給与所得の金額が表示されます。↓</t>
    <rPh sb="0" eb="2">
      <t>キュウヨ</t>
    </rPh>
    <rPh sb="2" eb="4">
      <t>ショトク</t>
    </rPh>
    <rPh sb="5" eb="7">
      <t>キンガク</t>
    </rPh>
    <rPh sb="8" eb="10">
      <t>ヒョウジ</t>
    </rPh>
    <phoneticPr fontId="10"/>
  </si>
  <si>
    <t>→</t>
    <phoneticPr fontId="10"/>
  </si>
  <si>
    <t>　　● 公的年金等に係る雑所得は、公的年金等収入金額から次のように求められます。</t>
    <rPh sb="4" eb="6">
      <t>コウテキ</t>
    </rPh>
    <rPh sb="6" eb="8">
      <t>ネンキン</t>
    </rPh>
    <rPh sb="8" eb="9">
      <t>トウ</t>
    </rPh>
    <rPh sb="10" eb="11">
      <t>カカ</t>
    </rPh>
    <rPh sb="12" eb="15">
      <t>ザツショトク</t>
    </rPh>
    <rPh sb="17" eb="19">
      <t>コウテキ</t>
    </rPh>
    <rPh sb="19" eb="21">
      <t>ネンキン</t>
    </rPh>
    <rPh sb="21" eb="22">
      <t>トウ</t>
    </rPh>
    <rPh sb="22" eb="24">
      <t>シュウニュウ</t>
    </rPh>
    <rPh sb="24" eb="26">
      <t>キンガク</t>
    </rPh>
    <rPh sb="28" eb="29">
      <t>ツギ</t>
    </rPh>
    <rPh sb="33" eb="34">
      <t>モト</t>
    </rPh>
    <phoneticPr fontId="10"/>
  </si>
  <si>
    <t>公的年金等収入金額</t>
    <rPh sb="0" eb="5">
      <t>コウテキネンキントウ</t>
    </rPh>
    <rPh sb="5" eb="7">
      <t>シュウニュウ</t>
    </rPh>
    <rPh sb="7" eb="9">
      <t>キンガク</t>
    </rPh>
    <phoneticPr fontId="10"/>
  </si>
  <si>
    <t>公的年金等収入金額</t>
    <rPh sb="0" eb="2">
      <t>コウテキ</t>
    </rPh>
    <rPh sb="2" eb="4">
      <t>ネンキン</t>
    </rPh>
    <rPh sb="4" eb="5">
      <t>トウ</t>
    </rPh>
    <rPh sb="5" eb="7">
      <t>シュウニュウ</t>
    </rPh>
    <rPh sb="7" eb="9">
      <t>キンガク</t>
    </rPh>
    <phoneticPr fontId="10"/>
  </si>
  <si>
    <t>3,299,999まで</t>
    <phoneticPr fontId="10"/>
  </si>
  <si>
    <t>収入金額－1,100,000</t>
    <rPh sb="0" eb="2">
      <t>シュウニュウ</t>
    </rPh>
    <rPh sb="2" eb="4">
      <t>キンガク</t>
    </rPh>
    <phoneticPr fontId="10"/>
  </si>
  <si>
    <t>1,299,999まで</t>
    <phoneticPr fontId="10"/>
  </si>
  <si>
    <t>3,300,000～4,099,999</t>
    <phoneticPr fontId="10"/>
  </si>
  <si>
    <t>1,300,000～4,099,999</t>
    <phoneticPr fontId="10"/>
  </si>
  <si>
    <t>4,100,000～7,699,999</t>
    <phoneticPr fontId="10"/>
  </si>
  <si>
    <t>7,700,000～9,999,999</t>
    <phoneticPr fontId="10"/>
  </si>
  <si>
    <t>10,000,000以上</t>
    <rPh sb="10" eb="12">
      <t>イジョウ</t>
    </rPh>
    <phoneticPr fontId="10"/>
  </si>
  <si>
    <t>７　割</t>
    <rPh sb="2" eb="3">
      <t>ワリ</t>
    </rPh>
    <phoneticPr fontId="10"/>
  </si>
  <si>
    <t>５　割</t>
    <rPh sb="2" eb="3">
      <t>ワリ</t>
    </rPh>
    <phoneticPr fontId="10"/>
  </si>
  <si>
    <t>２　割</t>
    <rPh sb="2" eb="3">
      <t>ワリ</t>
    </rPh>
    <phoneticPr fontId="10"/>
  </si>
  <si>
    <r>
      <t>令和　年分　</t>
    </r>
    <r>
      <rPr>
        <b/>
        <sz val="11"/>
        <rFont val="ＭＳ Ｐゴシック"/>
        <family val="3"/>
        <charset val="128"/>
      </rPr>
      <t>給 与 所 得 の 源 泉 徴 収 票</t>
    </r>
  </si>
  <si>
    <t>支　払
を受け
る　者</t>
    <rPh sb="0" eb="1">
      <t>シ</t>
    </rPh>
    <rPh sb="2" eb="3">
      <t>フツ</t>
    </rPh>
    <rPh sb="6" eb="7">
      <t>ウ</t>
    </rPh>
    <rPh sb="12" eb="13">
      <t>モノ</t>
    </rPh>
    <phoneticPr fontId="10"/>
  </si>
  <si>
    <t>住
所
又
は
居
所</t>
    <rPh sb="0" eb="1">
      <t>ジュウ</t>
    </rPh>
    <rPh sb="2" eb="3">
      <t>ショ</t>
    </rPh>
    <rPh sb="4" eb="5">
      <t>マタ</t>
    </rPh>
    <rPh sb="8" eb="9">
      <t>オル</t>
    </rPh>
    <rPh sb="10" eb="11">
      <t>ショ</t>
    </rPh>
    <phoneticPr fontId="10"/>
  </si>
  <si>
    <t>(受給者番号)</t>
    <rPh sb="1" eb="4">
      <t>ジュキュウシャ</t>
    </rPh>
    <rPh sb="4" eb="6">
      <t>バンゴウ</t>
    </rPh>
    <phoneticPr fontId="10"/>
  </si>
  <si>
    <t>（個人番号）</t>
    <rPh sb="1" eb="3">
      <t>コジン</t>
    </rPh>
    <rPh sb="3" eb="5">
      <t>バンゴウ</t>
    </rPh>
    <phoneticPr fontId="10"/>
  </si>
  <si>
    <t>（役職名）</t>
    <rPh sb="1" eb="4">
      <t>ヤクショクメイ</t>
    </rPh>
    <phoneticPr fontId="10"/>
  </si>
  <si>
    <t>氏
名</t>
    <rPh sb="0" eb="1">
      <t>シ</t>
    </rPh>
    <rPh sb="3" eb="4">
      <t>メイ</t>
    </rPh>
    <phoneticPr fontId="10"/>
  </si>
  <si>
    <t>（フリガナ）</t>
    <phoneticPr fontId="10"/>
  </si>
  <si>
    <t>種　　　　　別</t>
    <rPh sb="0" eb="1">
      <t>タネ</t>
    </rPh>
    <rPh sb="6" eb="7">
      <t>ベツ</t>
    </rPh>
    <phoneticPr fontId="10"/>
  </si>
  <si>
    <t>支　払　金　額</t>
    <rPh sb="0" eb="1">
      <t>シ</t>
    </rPh>
    <rPh sb="2" eb="3">
      <t>バライ</t>
    </rPh>
    <rPh sb="4" eb="5">
      <t>キン</t>
    </rPh>
    <rPh sb="6" eb="7">
      <t>ガク</t>
    </rPh>
    <phoneticPr fontId="10"/>
  </si>
  <si>
    <t>給与所得控除後の金額
（調　整　控　除　後）</t>
    <rPh sb="0" eb="2">
      <t>キュウヨ</t>
    </rPh>
    <rPh sb="2" eb="4">
      <t>ショトク</t>
    </rPh>
    <rPh sb="4" eb="6">
      <t>コウジョ</t>
    </rPh>
    <rPh sb="6" eb="7">
      <t>ゴ</t>
    </rPh>
    <rPh sb="8" eb="10">
      <t>キンガク</t>
    </rPh>
    <rPh sb="12" eb="13">
      <t>チョウ</t>
    </rPh>
    <rPh sb="14" eb="15">
      <t>ヒトシ</t>
    </rPh>
    <rPh sb="16" eb="17">
      <t>ヒカエ</t>
    </rPh>
    <rPh sb="18" eb="19">
      <t>ジョ</t>
    </rPh>
    <rPh sb="20" eb="21">
      <t>ゴ</t>
    </rPh>
    <phoneticPr fontId="10"/>
  </si>
  <si>
    <t>所得控除の額の合計額</t>
    <rPh sb="0" eb="2">
      <t>ショトク</t>
    </rPh>
    <rPh sb="2" eb="4">
      <t>コウジョ</t>
    </rPh>
    <rPh sb="5" eb="6">
      <t>ガク</t>
    </rPh>
    <rPh sb="7" eb="9">
      <t>ゴウケイ</t>
    </rPh>
    <rPh sb="9" eb="10">
      <t>ガク</t>
    </rPh>
    <phoneticPr fontId="10"/>
  </si>
  <si>
    <t>源 泉 徴 収 税 額</t>
    <rPh sb="0" eb="1">
      <t>ミナモト</t>
    </rPh>
    <rPh sb="2" eb="3">
      <t>イズミ</t>
    </rPh>
    <rPh sb="4" eb="5">
      <t>チョウ</t>
    </rPh>
    <rPh sb="6" eb="7">
      <t>シュウ</t>
    </rPh>
    <rPh sb="8" eb="9">
      <t>ゼイ</t>
    </rPh>
    <rPh sb="10" eb="11">
      <t>ガク</t>
    </rPh>
    <phoneticPr fontId="10"/>
  </si>
  <si>
    <t>内</t>
    <rPh sb="0" eb="1">
      <t>ウチ</t>
    </rPh>
    <phoneticPr fontId="10"/>
  </si>
  <si>
    <t>千</t>
    <rPh sb="0" eb="1">
      <t>セン</t>
    </rPh>
    <phoneticPr fontId="10"/>
  </si>
  <si>
    <t>（源泉）控除対象配偶者
　　の有無等</t>
    <rPh sb="1" eb="3">
      <t>ゲンセン</t>
    </rPh>
    <rPh sb="4" eb="6">
      <t>コウジョ</t>
    </rPh>
    <rPh sb="6" eb="8">
      <t>タイショウ</t>
    </rPh>
    <rPh sb="8" eb="11">
      <t>ハイグウシャ</t>
    </rPh>
    <rPh sb="15" eb="17">
      <t>ウム</t>
    </rPh>
    <rPh sb="17" eb="18">
      <t>トウ</t>
    </rPh>
    <phoneticPr fontId="10"/>
  </si>
  <si>
    <t>配 偶 者( 特 別)
控　除　の　額</t>
    <rPh sb="0" eb="1">
      <t>ハイ</t>
    </rPh>
    <rPh sb="2" eb="3">
      <t>グウ</t>
    </rPh>
    <rPh sb="4" eb="5">
      <t>モノ</t>
    </rPh>
    <rPh sb="7" eb="8">
      <t>トク</t>
    </rPh>
    <rPh sb="9" eb="10">
      <t>ベツ</t>
    </rPh>
    <rPh sb="12" eb="13">
      <t>ヒカエ</t>
    </rPh>
    <rPh sb="14" eb="15">
      <t>ジョ</t>
    </rPh>
    <rPh sb="18" eb="19">
      <t>ガク</t>
    </rPh>
    <phoneticPr fontId="10"/>
  </si>
  <si>
    <t>控除対象扶養親族の数
（配偶者を除く。）</t>
    <rPh sb="0" eb="2">
      <t>コウジョ</t>
    </rPh>
    <rPh sb="2" eb="4">
      <t>タイショウ</t>
    </rPh>
    <rPh sb="4" eb="6">
      <t>フヨウ</t>
    </rPh>
    <rPh sb="6" eb="8">
      <t>シンゾク</t>
    </rPh>
    <rPh sb="9" eb="10">
      <t>カズ</t>
    </rPh>
    <rPh sb="12" eb="15">
      <t>ハイグウシャ</t>
    </rPh>
    <rPh sb="16" eb="17">
      <t>ノゾ</t>
    </rPh>
    <phoneticPr fontId="10"/>
  </si>
  <si>
    <t>16歳未満
扶養親族
の数</t>
    <rPh sb="2" eb="3">
      <t>サイ</t>
    </rPh>
    <rPh sb="3" eb="5">
      <t>ミマン</t>
    </rPh>
    <rPh sb="6" eb="8">
      <t>フヨウ</t>
    </rPh>
    <rPh sb="8" eb="10">
      <t>シンゾク</t>
    </rPh>
    <rPh sb="12" eb="13">
      <t>カズ</t>
    </rPh>
    <phoneticPr fontId="10"/>
  </si>
  <si>
    <t>障　害　者　の　数
（本人を除く。）</t>
    <rPh sb="0" eb="1">
      <t>ショウ</t>
    </rPh>
    <rPh sb="2" eb="3">
      <t>ガイ</t>
    </rPh>
    <rPh sb="4" eb="5">
      <t>モノ</t>
    </rPh>
    <rPh sb="8" eb="9">
      <t>カズ</t>
    </rPh>
    <rPh sb="11" eb="13">
      <t>ホンニン</t>
    </rPh>
    <rPh sb="14" eb="15">
      <t>ノゾ</t>
    </rPh>
    <phoneticPr fontId="10"/>
  </si>
  <si>
    <t>非住居者
である
親族の数</t>
    <rPh sb="0" eb="1">
      <t>ヒ</t>
    </rPh>
    <rPh sb="1" eb="3">
      <t>ジュウキョ</t>
    </rPh>
    <rPh sb="3" eb="4">
      <t>シャ</t>
    </rPh>
    <rPh sb="9" eb="11">
      <t>シンゾク</t>
    </rPh>
    <rPh sb="12" eb="13">
      <t>カズ</t>
    </rPh>
    <phoneticPr fontId="10"/>
  </si>
  <si>
    <t>老人</t>
    <rPh sb="0" eb="2">
      <t>ロウジン</t>
    </rPh>
    <phoneticPr fontId="10"/>
  </si>
  <si>
    <t>特　定</t>
    <rPh sb="0" eb="1">
      <t>トク</t>
    </rPh>
    <rPh sb="2" eb="3">
      <t>サダム</t>
    </rPh>
    <phoneticPr fontId="10"/>
  </si>
  <si>
    <t>老　人</t>
    <rPh sb="0" eb="1">
      <t>ロウ</t>
    </rPh>
    <rPh sb="2" eb="3">
      <t>ヒト</t>
    </rPh>
    <phoneticPr fontId="10"/>
  </si>
  <si>
    <t>その他</t>
    <rPh sb="2" eb="3">
      <t>タ</t>
    </rPh>
    <phoneticPr fontId="10"/>
  </si>
  <si>
    <t>特別</t>
    <rPh sb="0" eb="2">
      <t>トクベツ</t>
    </rPh>
    <phoneticPr fontId="10"/>
  </si>
  <si>
    <t>有</t>
    <rPh sb="0" eb="1">
      <t>ア</t>
    </rPh>
    <phoneticPr fontId="10"/>
  </si>
  <si>
    <t>従有</t>
    <rPh sb="0" eb="1">
      <t>ジュウ</t>
    </rPh>
    <rPh sb="1" eb="2">
      <t>アリ</t>
    </rPh>
    <phoneticPr fontId="10"/>
  </si>
  <si>
    <t>従人</t>
    <rPh sb="0" eb="1">
      <t>ジュウ</t>
    </rPh>
    <rPh sb="1" eb="2">
      <t>ニン</t>
    </rPh>
    <phoneticPr fontId="10"/>
  </si>
  <si>
    <t>社会保険料等の金額</t>
    <rPh sb="0" eb="2">
      <t>シャカイ</t>
    </rPh>
    <rPh sb="2" eb="5">
      <t>ホケンリョウ</t>
    </rPh>
    <rPh sb="5" eb="6">
      <t>トウ</t>
    </rPh>
    <rPh sb="7" eb="9">
      <t>キンガク</t>
    </rPh>
    <phoneticPr fontId="10"/>
  </si>
  <si>
    <t>生命保険料の控除額</t>
    <rPh sb="0" eb="2">
      <t>セイメイ</t>
    </rPh>
    <rPh sb="2" eb="4">
      <t>ホケン</t>
    </rPh>
    <rPh sb="4" eb="5">
      <t>リョウ</t>
    </rPh>
    <rPh sb="6" eb="8">
      <t>コウジョ</t>
    </rPh>
    <rPh sb="8" eb="9">
      <t>ガク</t>
    </rPh>
    <phoneticPr fontId="10"/>
  </si>
  <si>
    <t>地震保険料の控除額</t>
    <rPh sb="0" eb="2">
      <t>ジシン</t>
    </rPh>
    <rPh sb="2" eb="5">
      <t>ホケンリョウ</t>
    </rPh>
    <rPh sb="6" eb="8">
      <t>コウジョ</t>
    </rPh>
    <rPh sb="8" eb="9">
      <t>ガク</t>
    </rPh>
    <phoneticPr fontId="10"/>
  </si>
  <si>
    <t>住宅借入金等特別控除の額</t>
    <rPh sb="0" eb="2">
      <t>ジュウタク</t>
    </rPh>
    <rPh sb="2" eb="3">
      <t>シャク</t>
    </rPh>
    <rPh sb="3" eb="5">
      <t>ニュウキン</t>
    </rPh>
    <rPh sb="5" eb="6">
      <t>トウ</t>
    </rPh>
    <rPh sb="6" eb="8">
      <t>トクベツ</t>
    </rPh>
    <rPh sb="8" eb="10">
      <t>コウジョ</t>
    </rPh>
    <rPh sb="11" eb="12">
      <t>ガク</t>
    </rPh>
    <phoneticPr fontId="10"/>
  </si>
  <si>
    <t>（摘要）</t>
    <rPh sb="1" eb="3">
      <t>テキヨウ</t>
    </rPh>
    <phoneticPr fontId="10"/>
  </si>
  <si>
    <t>☆国民健康保険料試算にあたっての注意事項</t>
    <rPh sb="1" eb="3">
      <t>コクミン</t>
    </rPh>
    <rPh sb="3" eb="5">
      <t>ケンコウ</t>
    </rPh>
    <rPh sb="5" eb="7">
      <t>ホケン</t>
    </rPh>
    <rPh sb="7" eb="8">
      <t>リョウ</t>
    </rPh>
    <rPh sb="8" eb="10">
      <t>シサン</t>
    </rPh>
    <rPh sb="16" eb="18">
      <t>チュウイ</t>
    </rPh>
    <rPh sb="18" eb="20">
      <t>ジコウ</t>
    </rPh>
    <phoneticPr fontId="10"/>
  </si>
  <si>
    <r>
      <t>　　●計算された保険料は</t>
    </r>
    <r>
      <rPr>
        <b/>
        <sz val="12"/>
        <rFont val="ＭＳ Ｐゴシック"/>
        <family val="3"/>
        <charset val="128"/>
      </rPr>
      <t>「年額（１２カ月分）」</t>
    </r>
    <r>
      <rPr>
        <sz val="12"/>
        <rFont val="ＭＳ Ｐゴシック"/>
        <family val="3"/>
        <charset val="128"/>
      </rPr>
      <t>です。</t>
    </r>
    <rPh sb="3" eb="5">
      <t>ケイサン</t>
    </rPh>
    <rPh sb="8" eb="11">
      <t>ホケンリョウ</t>
    </rPh>
    <rPh sb="13" eb="15">
      <t>ネンガク</t>
    </rPh>
    <rPh sb="19" eb="21">
      <t>ゲツブン</t>
    </rPh>
    <phoneticPr fontId="10"/>
  </si>
  <si>
    <t>　　● 次のような場合は軽減の判定が正しく行われないことがあります。軽減の詳細については、①をご確認ください。</t>
    <rPh sb="4" eb="5">
      <t>ツギ</t>
    </rPh>
    <rPh sb="9" eb="11">
      <t>バアイ</t>
    </rPh>
    <rPh sb="12" eb="14">
      <t>ケイゲン</t>
    </rPh>
    <rPh sb="15" eb="17">
      <t>ハンテイ</t>
    </rPh>
    <rPh sb="18" eb="19">
      <t>タダ</t>
    </rPh>
    <rPh sb="21" eb="22">
      <t>オコナ</t>
    </rPh>
    <phoneticPr fontId="10"/>
  </si>
  <si>
    <t>　　　・ 専従者給与を受けている場合</t>
    <rPh sb="5" eb="8">
      <t>センジュウシャ</t>
    </rPh>
    <rPh sb="8" eb="10">
      <t>キュウヨ</t>
    </rPh>
    <rPh sb="11" eb="12">
      <t>ウ</t>
    </rPh>
    <rPh sb="16" eb="18">
      <t>バアイ</t>
    </rPh>
    <phoneticPr fontId="10"/>
  </si>
  <si>
    <t>　　　・ 土地・建物等の譲渡所得で、譲渡所得にかかる特別控除がある場合</t>
    <rPh sb="5" eb="7">
      <t>トチ</t>
    </rPh>
    <rPh sb="8" eb="10">
      <t>タテモノ</t>
    </rPh>
    <rPh sb="10" eb="11">
      <t>トウ</t>
    </rPh>
    <rPh sb="12" eb="16">
      <t>ジョウトショトク</t>
    </rPh>
    <rPh sb="18" eb="22">
      <t>ジョウトショトク</t>
    </rPh>
    <rPh sb="26" eb="28">
      <t>トクベツ</t>
    </rPh>
    <rPh sb="28" eb="30">
      <t>コウジョ</t>
    </rPh>
    <rPh sb="33" eb="35">
      <t>バアイ</t>
    </rPh>
    <phoneticPr fontId="10"/>
  </si>
  <si>
    <t>①　法定軽減について</t>
    <rPh sb="2" eb="4">
      <t>ホウテイ</t>
    </rPh>
    <rPh sb="4" eb="6">
      <t>ケイゲン</t>
    </rPh>
    <phoneticPr fontId="10"/>
  </si>
  <si>
    <t>軽減
割合</t>
    <rPh sb="0" eb="2">
      <t>ケイゲン</t>
    </rPh>
    <rPh sb="3" eb="5">
      <t>ワリアイ</t>
    </rPh>
    <phoneticPr fontId="10"/>
  </si>
  <si>
    <r>
      <t>Ａ×2.4＋</t>
    </r>
    <r>
      <rPr>
        <sz val="11"/>
        <color theme="1"/>
        <rFont val="ＭＳ Ｐゴシック"/>
        <family val="3"/>
        <charset val="128"/>
      </rPr>
      <t>100,000</t>
    </r>
    <phoneticPr fontId="10"/>
  </si>
  <si>
    <r>
      <t>Ａ×3.2-</t>
    </r>
    <r>
      <rPr>
        <sz val="11"/>
        <color theme="1"/>
        <rFont val="ＭＳ Ｐゴシック"/>
        <family val="3"/>
        <charset val="128"/>
      </rPr>
      <t>4</t>
    </r>
    <r>
      <rPr>
        <sz val="11"/>
        <rFont val="ＭＳ Ｐゴシック"/>
        <family val="3"/>
        <charset val="128"/>
      </rPr>
      <t>40,000</t>
    </r>
    <phoneticPr fontId="10"/>
  </si>
  <si>
    <r>
      <t>収入金額×0.9-1,</t>
    </r>
    <r>
      <rPr>
        <sz val="11"/>
        <color theme="1"/>
        <rFont val="ＭＳ Ｐゴシック"/>
        <family val="3"/>
        <charset val="128"/>
      </rPr>
      <t>1</t>
    </r>
    <r>
      <rPr>
        <sz val="11"/>
        <rFont val="ＭＳ Ｐゴシック"/>
        <family val="3"/>
        <charset val="128"/>
      </rPr>
      <t>00,000</t>
    </r>
    <rPh sb="0" eb="2">
      <t>シュウニュウ</t>
    </rPh>
    <rPh sb="2" eb="4">
      <t>キンガク</t>
    </rPh>
    <phoneticPr fontId="10"/>
  </si>
  <si>
    <r>
      <t>収入金額-</t>
    </r>
    <r>
      <rPr>
        <sz val="11"/>
        <color theme="1"/>
        <rFont val="ＭＳ Ｐゴシック"/>
        <family val="3"/>
        <charset val="128"/>
      </rPr>
      <t>1</t>
    </r>
    <r>
      <rPr>
        <sz val="11"/>
        <rFont val="ＭＳ Ｐゴシック"/>
        <family val="3"/>
        <charset val="128"/>
      </rPr>
      <t>,</t>
    </r>
    <r>
      <rPr>
        <sz val="11"/>
        <color theme="1"/>
        <rFont val="ＭＳ Ｐゴシック"/>
        <family val="3"/>
        <charset val="128"/>
      </rPr>
      <t>95</t>
    </r>
    <r>
      <rPr>
        <sz val="11"/>
        <rFont val="ＭＳ Ｐゴシック"/>
        <family val="3"/>
        <charset val="128"/>
      </rPr>
      <t>0,000</t>
    </r>
    <rPh sb="0" eb="2">
      <t>シュウニュウ</t>
    </rPh>
    <rPh sb="2" eb="4">
      <t>キンガク</t>
    </rPh>
    <phoneticPr fontId="10"/>
  </si>
  <si>
    <r>
      <t>収入金額-</t>
    </r>
    <r>
      <rPr>
        <sz val="11"/>
        <color theme="1"/>
        <rFont val="ＭＳ Ｐゴシック"/>
        <family val="3"/>
        <charset val="128"/>
      </rPr>
      <t>6</t>
    </r>
    <r>
      <rPr>
        <sz val="11"/>
        <rFont val="ＭＳ Ｐゴシック"/>
        <family val="3"/>
        <charset val="128"/>
      </rPr>
      <t>00,000</t>
    </r>
    <rPh sb="0" eb="4">
      <t>シュウニュウキンガク</t>
    </rPh>
    <phoneticPr fontId="10"/>
  </si>
  <si>
    <r>
      <t>収入金額×75％-</t>
    </r>
    <r>
      <rPr>
        <sz val="11"/>
        <color theme="1"/>
        <rFont val="ＭＳ Ｐゴシック"/>
        <family val="3"/>
        <charset val="128"/>
      </rPr>
      <t>2</t>
    </r>
    <r>
      <rPr>
        <sz val="11"/>
        <rFont val="ＭＳ Ｐゴシック"/>
        <family val="3"/>
        <charset val="128"/>
      </rPr>
      <t>75,000</t>
    </r>
    <rPh sb="0" eb="4">
      <t>シュウニュウキンガク</t>
    </rPh>
    <phoneticPr fontId="10"/>
  </si>
  <si>
    <r>
      <t>収入金額×75％-</t>
    </r>
    <r>
      <rPr>
        <sz val="11"/>
        <color theme="1"/>
        <rFont val="ＭＳ Ｐゴシック"/>
        <family val="3"/>
        <charset val="128"/>
      </rPr>
      <t>2</t>
    </r>
    <r>
      <rPr>
        <sz val="11"/>
        <rFont val="ＭＳ Ｐゴシック"/>
        <family val="3"/>
        <charset val="128"/>
      </rPr>
      <t>75,000</t>
    </r>
    <rPh sb="0" eb="5">
      <t>シュウニュウキンガクバツ</t>
    </rPh>
    <phoneticPr fontId="10"/>
  </si>
  <si>
    <r>
      <t>収入金額×85％-</t>
    </r>
    <r>
      <rPr>
        <sz val="11"/>
        <color theme="1"/>
        <rFont val="ＭＳ Ｐゴシック"/>
        <family val="3"/>
        <charset val="128"/>
      </rPr>
      <t>6</t>
    </r>
    <r>
      <rPr>
        <sz val="11"/>
        <rFont val="ＭＳ Ｐゴシック"/>
        <family val="3"/>
        <charset val="128"/>
      </rPr>
      <t>85,000</t>
    </r>
    <rPh sb="0" eb="4">
      <t>シュウニュウキンガク</t>
    </rPh>
    <phoneticPr fontId="10"/>
  </si>
  <si>
    <r>
      <t>収入金額×85％-</t>
    </r>
    <r>
      <rPr>
        <sz val="11"/>
        <color theme="1"/>
        <rFont val="ＭＳ Ｐゴシック"/>
        <family val="3"/>
        <charset val="128"/>
      </rPr>
      <t>6</t>
    </r>
    <r>
      <rPr>
        <sz val="11"/>
        <rFont val="ＭＳ Ｐゴシック"/>
        <family val="3"/>
        <charset val="128"/>
      </rPr>
      <t>85,000</t>
    </r>
    <phoneticPr fontId="10"/>
  </si>
  <si>
    <r>
      <t>収入金額×95％-1,</t>
    </r>
    <r>
      <rPr>
        <sz val="11"/>
        <color theme="1"/>
        <rFont val="ＭＳ Ｐゴシック"/>
        <family val="3"/>
        <charset val="128"/>
      </rPr>
      <t>4</t>
    </r>
    <r>
      <rPr>
        <sz val="11"/>
        <rFont val="ＭＳ Ｐゴシック"/>
        <family val="3"/>
        <charset val="128"/>
      </rPr>
      <t>55,000</t>
    </r>
    <rPh sb="0" eb="5">
      <t>シュウニュウキンガクバツ</t>
    </rPh>
    <phoneticPr fontId="10"/>
  </si>
  <si>
    <r>
      <t>収入金額×95％-1,</t>
    </r>
    <r>
      <rPr>
        <sz val="11"/>
        <color theme="1"/>
        <rFont val="ＭＳ Ｐゴシック"/>
        <family val="3"/>
        <charset val="128"/>
      </rPr>
      <t>4</t>
    </r>
    <r>
      <rPr>
        <sz val="11"/>
        <rFont val="ＭＳ Ｐゴシック"/>
        <family val="3"/>
        <charset val="128"/>
      </rPr>
      <t>55,000</t>
    </r>
    <phoneticPr fontId="10"/>
  </si>
  <si>
    <t>収入金額-1,955,000</t>
    <rPh sb="0" eb="2">
      <t>シュウニュウ</t>
    </rPh>
    <rPh sb="2" eb="4">
      <t>キンガク</t>
    </rPh>
    <phoneticPr fontId="10"/>
  </si>
  <si>
    <t>収入金額-1,955,000</t>
    <phoneticPr fontId="10"/>
  </si>
  <si>
    <t>軽減判定の所得基準</t>
    <rPh sb="0" eb="2">
      <t>ケイゲン</t>
    </rPh>
    <rPh sb="2" eb="4">
      <t>ハンテイ</t>
    </rPh>
    <rPh sb="5" eb="7">
      <t>ショトク</t>
    </rPh>
    <rPh sb="7" eb="9">
      <t>キジュン</t>
    </rPh>
    <phoneticPr fontId="10"/>
  </si>
  <si>
    <t>　　　・ 事業所得のある人で、事業専従者控除がある場合</t>
    <rPh sb="5" eb="7">
      <t>ジギョウ</t>
    </rPh>
    <rPh sb="7" eb="9">
      <t>ショトク</t>
    </rPh>
    <rPh sb="12" eb="13">
      <t>ヒト</t>
    </rPh>
    <rPh sb="15" eb="17">
      <t>ジギョウ</t>
    </rPh>
    <rPh sb="17" eb="20">
      <t>センジュウシャ</t>
    </rPh>
    <rPh sb="20" eb="22">
      <t>コウジョ</t>
    </rPh>
    <rPh sb="25" eb="27">
      <t>バアイ</t>
    </rPh>
    <phoneticPr fontId="10"/>
  </si>
  <si>
    <r>
      <t xml:space="preserve">「☆国民健康保険料試算にあたっての注意事項」をご確認の上、ご利用ください。
</t>
    </r>
    <r>
      <rPr>
        <sz val="15"/>
        <color theme="1"/>
        <rFont val="ＭＳ Ｐゴシック"/>
        <family val="3"/>
        <charset val="128"/>
      </rPr>
      <t>この試算シートでは、世帯の状況等により正しく計算できない場合があります。
正確な保険料の試算をご希望の場合は、市民・国保課（0773-42-4246）までお問い合わせください。</t>
    </r>
  </si>
  <si>
    <t>賦課基準所得金額
（基礎控除後の総所得金額等）</t>
    <rPh sb="0" eb="2">
      <t>フカ</t>
    </rPh>
    <rPh sb="2" eb="4">
      <t>キジュン</t>
    </rPh>
    <rPh sb="4" eb="6">
      <t>ショトク</t>
    </rPh>
    <rPh sb="6" eb="8">
      <t>キンガク</t>
    </rPh>
    <phoneticPr fontId="2"/>
  </si>
  <si>
    <r>
      <t>　　　１回あたりにお支払いしていただく金額は</t>
    </r>
    <r>
      <rPr>
        <b/>
        <sz val="12"/>
        <rFont val="ＭＳ Ｐゴシック"/>
        <family val="3"/>
        <charset val="128"/>
      </rPr>
      <t>（年額保険料÷お支払い月数）</t>
    </r>
    <r>
      <rPr>
        <sz val="12"/>
        <rFont val="ＭＳ Ｐゴシック"/>
        <family val="3"/>
        <charset val="128"/>
      </rPr>
      <t>の金額になります。</t>
    </r>
    <rPh sb="4" eb="5">
      <t>カイ</t>
    </rPh>
    <rPh sb="10" eb="12">
      <t>シハラ</t>
    </rPh>
    <rPh sb="19" eb="21">
      <t>キンガク</t>
    </rPh>
    <rPh sb="23" eb="25">
      <t>ネンガク</t>
    </rPh>
    <rPh sb="25" eb="28">
      <t>ホケンリョウ</t>
    </rPh>
    <rPh sb="30" eb="32">
      <t>シハラ</t>
    </rPh>
    <rPh sb="33" eb="35">
      <t>ツキスウ</t>
    </rPh>
    <rPh sb="37" eb="39">
      <t>キンガク</t>
    </rPh>
    <phoneticPr fontId="10"/>
  </si>
  <si>
    <t>　　● 世帯全員が所得の申告をしていて、前年の世帯の所得合計（擬制世帯主（国民健康保険に加入していない世帯主）の
         所得を含む）が、下表の基準を満たす世帯については、保険料の均等割額と平等割額を下表の割合で軽減します。</t>
    <rPh sb="26" eb="28">
      <t>ショトク</t>
    </rPh>
    <rPh sb="37" eb="39">
      <t>コクミン</t>
    </rPh>
    <rPh sb="39" eb="41">
      <t>ケンコウ</t>
    </rPh>
    <rPh sb="41" eb="43">
      <t>ホケン</t>
    </rPh>
    <phoneticPr fontId="10"/>
  </si>
  <si>
    <t>　前年の世帯の所得合計（※１）≦43万円＋10万円×(給与所得者等の数（※２）－1)</t>
    <rPh sb="1" eb="3">
      <t>ゼンネン</t>
    </rPh>
    <rPh sb="4" eb="6">
      <t>セタイ</t>
    </rPh>
    <rPh sb="7" eb="9">
      <t>ショトク</t>
    </rPh>
    <rPh sb="9" eb="11">
      <t>ゴウケイ</t>
    </rPh>
    <rPh sb="18" eb="19">
      <t>マン</t>
    </rPh>
    <rPh sb="19" eb="20">
      <t>エン</t>
    </rPh>
    <rPh sb="23" eb="24">
      <t>マン</t>
    </rPh>
    <phoneticPr fontId="10"/>
  </si>
  <si>
    <t>　　● 総所得金額等とは、地方税法上の総所得金額（収入金額から必要経費を引いた額。社会保険料
        控除などの各種所得控除前。）のほか、山林所得、土地・建物の譲渡所得（特別控除後）、確定申
        告又は市府民税申告をした株式譲渡所得、配当所得など（退職所得は除く。）を合算したものを言い
        ます。</t>
    <rPh sb="4" eb="7">
      <t>ソウショトク</t>
    </rPh>
    <rPh sb="7" eb="9">
      <t>キンガク</t>
    </rPh>
    <rPh sb="9" eb="10">
      <t>トウ</t>
    </rPh>
    <rPh sb="13" eb="15">
      <t>チホウ</t>
    </rPh>
    <rPh sb="15" eb="18">
      <t>ゼイホウジョウ</t>
    </rPh>
    <rPh sb="19" eb="22">
      <t>ソウショトク</t>
    </rPh>
    <rPh sb="22" eb="24">
      <t>キンガク</t>
    </rPh>
    <rPh sb="25" eb="27">
      <t>シュウニュウ</t>
    </rPh>
    <rPh sb="27" eb="29">
      <t>キンガク</t>
    </rPh>
    <rPh sb="31" eb="33">
      <t>ヒツヨウ</t>
    </rPh>
    <rPh sb="33" eb="35">
      <t>ケイヒ</t>
    </rPh>
    <rPh sb="36" eb="37">
      <t>ヒ</t>
    </rPh>
    <rPh sb="39" eb="40">
      <t>ガク</t>
    </rPh>
    <rPh sb="41" eb="43">
      <t>シャカイ</t>
    </rPh>
    <rPh sb="43" eb="46">
      <t>ホケンリョウ</t>
    </rPh>
    <rPh sb="60" eb="62">
      <t>カクシュ</t>
    </rPh>
    <rPh sb="62" eb="64">
      <t>ショトク</t>
    </rPh>
    <rPh sb="64" eb="66">
      <t>コウジョ</t>
    </rPh>
    <rPh sb="66" eb="67">
      <t>マエ</t>
    </rPh>
    <rPh sb="73" eb="75">
      <t>サンリン</t>
    </rPh>
    <rPh sb="75" eb="77">
      <t>ショトク</t>
    </rPh>
    <rPh sb="78" eb="80">
      <t>トチ</t>
    </rPh>
    <rPh sb="81" eb="83">
      <t>タテモノ</t>
    </rPh>
    <rPh sb="84" eb="86">
      <t>ジョウト</t>
    </rPh>
    <rPh sb="86" eb="88">
      <t>ショトク</t>
    </rPh>
    <rPh sb="89" eb="91">
      <t>トクベツ</t>
    </rPh>
    <rPh sb="91" eb="93">
      <t>コウジョ</t>
    </rPh>
    <rPh sb="93" eb="94">
      <t>ゴ</t>
    </rPh>
    <rPh sb="96" eb="98">
      <t>カクテイ</t>
    </rPh>
    <rPh sb="109" eb="110">
      <t>マタ</t>
    </rPh>
    <rPh sb="115" eb="117">
      <t>シンコク</t>
    </rPh>
    <rPh sb="120" eb="122">
      <t>カブシキ</t>
    </rPh>
    <rPh sb="122" eb="124">
      <t>ジョウト</t>
    </rPh>
    <rPh sb="124" eb="126">
      <t>ショトク</t>
    </rPh>
    <rPh sb="127" eb="129">
      <t>ハイトウ</t>
    </rPh>
    <rPh sb="129" eb="131">
      <t>ショトク</t>
    </rPh>
    <rPh sb="134" eb="136">
      <t>タイショク</t>
    </rPh>
    <rPh sb="136" eb="138">
      <t>ショトク</t>
    </rPh>
    <rPh sb="139" eb="140">
      <t>ノゾ</t>
    </rPh>
    <rPh sb="144" eb="146">
      <t>ガッサン</t>
    </rPh>
    <rPh sb="151" eb="152">
      <t>イ</t>
    </rPh>
    <phoneticPr fontId="10"/>
  </si>
  <si>
    <t>　　（公的年金等の収入金額以外の合計所得が1000万円を超える場合は控除額が異なるため下記の計算式は使用できません。）</t>
    <rPh sb="3" eb="5">
      <t>コウテキ</t>
    </rPh>
    <rPh sb="5" eb="7">
      <t>ネンキン</t>
    </rPh>
    <rPh sb="7" eb="8">
      <t>トウ</t>
    </rPh>
    <rPh sb="9" eb="11">
      <t>シュウニュウ</t>
    </rPh>
    <rPh sb="11" eb="12">
      <t>キン</t>
    </rPh>
    <rPh sb="12" eb="13">
      <t>ガク</t>
    </rPh>
    <rPh sb="13" eb="15">
      <t>イガイ</t>
    </rPh>
    <rPh sb="16" eb="18">
      <t>ゴウケイ</t>
    </rPh>
    <rPh sb="18" eb="20">
      <t>ショトク</t>
    </rPh>
    <rPh sb="25" eb="27">
      <t>マンエン</t>
    </rPh>
    <rPh sb="28" eb="29">
      <t>コ</t>
    </rPh>
    <rPh sb="31" eb="33">
      <t>バアイ</t>
    </rPh>
    <rPh sb="34" eb="36">
      <t>コウジョ</t>
    </rPh>
    <rPh sb="36" eb="37">
      <t>ガク</t>
    </rPh>
    <rPh sb="38" eb="39">
      <t>コト</t>
    </rPh>
    <rPh sb="43" eb="45">
      <t>カキ</t>
    </rPh>
    <rPh sb="46" eb="48">
      <t>ケイサン</t>
    </rPh>
    <rPh sb="48" eb="49">
      <t>シキ</t>
    </rPh>
    <rPh sb="50" eb="52">
      <t>シヨウ</t>
    </rPh>
    <phoneticPr fontId="10"/>
  </si>
  <si>
    <t>公的年金等控除後の金額</t>
    <rPh sb="0" eb="2">
      <t>コウテキ</t>
    </rPh>
    <rPh sb="2" eb="4">
      <t>ネンキン</t>
    </rPh>
    <rPh sb="4" eb="5">
      <t>トウ</t>
    </rPh>
    <rPh sb="5" eb="7">
      <t>コウジョ</t>
    </rPh>
    <rPh sb="7" eb="8">
      <t>ゴ</t>
    </rPh>
    <rPh sb="9" eb="11">
      <t>キンガク</t>
    </rPh>
    <phoneticPr fontId="10"/>
  </si>
  <si>
    <t>公的年金等控除後の金額が表示されます。↓</t>
    <rPh sb="0" eb="2">
      <t>コウテキ</t>
    </rPh>
    <rPh sb="2" eb="5">
      <t>ネンキンナド</t>
    </rPh>
    <rPh sb="5" eb="7">
      <t>コウジョ</t>
    </rPh>
    <rPh sb="7" eb="8">
      <t>ゴ</t>
    </rPh>
    <rPh sb="9" eb="11">
      <t>キンガク</t>
    </rPh>
    <rPh sb="12" eb="14">
      <t>ヒョウジ</t>
    </rPh>
    <phoneticPr fontId="10"/>
  </si>
  <si>
    <t>×1/2×</t>
  </si>
  <si>
    <t>×1/2×</t>
    <phoneticPr fontId="10"/>
  </si>
  <si>
    <t>②均等割額（未就学児）</t>
    <rPh sb="1" eb="3">
      <t>キントウ</t>
    </rPh>
    <rPh sb="3" eb="4">
      <t>ワ</t>
    </rPh>
    <rPh sb="4" eb="5">
      <t>ガク</t>
    </rPh>
    <rPh sb="6" eb="10">
      <t>ミシュウガクジ</t>
    </rPh>
    <phoneticPr fontId="10"/>
  </si>
  <si>
    <t>②均等割額（未就学児以外）</t>
    <rPh sb="1" eb="3">
      <t>キントウ</t>
    </rPh>
    <rPh sb="3" eb="4">
      <t>ワ</t>
    </rPh>
    <rPh sb="4" eb="5">
      <t>ガク</t>
    </rPh>
    <rPh sb="6" eb="10">
      <t>ミシュウガクジ</t>
    </rPh>
    <rPh sb="10" eb="12">
      <t>イガイ</t>
    </rPh>
    <phoneticPr fontId="10"/>
  </si>
  <si>
    <t>人</t>
  </si>
  <si>
    <t>×</t>
  </si>
  <si>
    <t>=</t>
  </si>
  <si>
    <t>円</t>
  </si>
  <si>
    <t>均等割</t>
  </si>
  <si>
    <t>※枠外（S列以降）は法定軽減の計算をしていますので、軽減無しの場合はエラー表示となりますが、問題ありません。</t>
    <rPh sb="1" eb="3">
      <t>ワクガイ</t>
    </rPh>
    <rPh sb="5" eb="6">
      <t>レツ</t>
    </rPh>
    <rPh sb="6" eb="8">
      <t>イコウ</t>
    </rPh>
    <rPh sb="10" eb="12">
      <t>ホウテイ</t>
    </rPh>
    <rPh sb="12" eb="14">
      <t>ケイゲン</t>
    </rPh>
    <rPh sb="15" eb="17">
      <t>ケイサン</t>
    </rPh>
    <rPh sb="26" eb="28">
      <t>ケイゲン</t>
    </rPh>
    <rPh sb="28" eb="29">
      <t>ナシ</t>
    </rPh>
    <rPh sb="31" eb="33">
      <t>バアイ</t>
    </rPh>
    <rPh sb="37" eb="39">
      <t>ヒョウジ</t>
    </rPh>
    <rPh sb="46" eb="48">
      <t>モンダイ</t>
    </rPh>
    <phoneticPr fontId="2"/>
  </si>
  <si>
    <t>　　● この試算シートでは、世帯内に特定同一世帯所属者（後期高齢者医療制度への移行により国民健康保険を脱退した
    　　人のうち、同じ世帯に国民健康保険被保険者がいる人）や、旧被扶養者（被用者保険の被保険者が後期高齢者医療
    　　制度に移行したことによって被用者保険を脱退した被扶養者）がいる場合などの保険料の減免措置は反映されませ
    　　ん。また、６５歳未満の非自発的失業者の保険料の軽減措置も反映されません。</t>
    <rPh sb="6" eb="8">
      <t>シサン</t>
    </rPh>
    <rPh sb="14" eb="16">
      <t>セタイ</t>
    </rPh>
    <rPh sb="16" eb="17">
      <t>ナイ</t>
    </rPh>
    <rPh sb="18" eb="20">
      <t>トクテイ</t>
    </rPh>
    <rPh sb="20" eb="22">
      <t>ドウイツ</t>
    </rPh>
    <rPh sb="22" eb="24">
      <t>セタイ</t>
    </rPh>
    <rPh sb="24" eb="26">
      <t>ショゾク</t>
    </rPh>
    <rPh sb="26" eb="27">
      <t>シャ</t>
    </rPh>
    <rPh sb="28" eb="30">
      <t>コウキ</t>
    </rPh>
    <rPh sb="30" eb="33">
      <t>コウレイシャ</t>
    </rPh>
    <rPh sb="33" eb="35">
      <t>イリョウ</t>
    </rPh>
    <rPh sb="35" eb="37">
      <t>セイド</t>
    </rPh>
    <rPh sb="39" eb="41">
      <t>イコウ</t>
    </rPh>
    <rPh sb="44" eb="46">
      <t>コクミン</t>
    </rPh>
    <rPh sb="46" eb="48">
      <t>ケンコウ</t>
    </rPh>
    <rPh sb="48" eb="50">
      <t>ホケン</t>
    </rPh>
    <rPh sb="51" eb="53">
      <t>ダッタイ</t>
    </rPh>
    <rPh sb="62" eb="63">
      <t>ヒト</t>
    </rPh>
    <rPh sb="67" eb="68">
      <t>オナ</t>
    </rPh>
    <rPh sb="69" eb="71">
      <t>セタイ</t>
    </rPh>
    <rPh sb="72" eb="74">
      <t>コクミン</t>
    </rPh>
    <rPh sb="74" eb="76">
      <t>ケンコウ</t>
    </rPh>
    <rPh sb="76" eb="78">
      <t>ホケン</t>
    </rPh>
    <rPh sb="78" eb="82">
      <t>ヒホケンシャ</t>
    </rPh>
    <rPh sb="85" eb="86">
      <t>ヒト</t>
    </rPh>
    <rPh sb="89" eb="90">
      <t>キュウ</t>
    </rPh>
    <rPh sb="90" eb="94">
      <t>ヒフヨウシャ</t>
    </rPh>
    <rPh sb="95" eb="98">
      <t>ヒヨウシャ</t>
    </rPh>
    <rPh sb="98" eb="100">
      <t>ホケン</t>
    </rPh>
    <rPh sb="106" eb="108">
      <t>コウキ</t>
    </rPh>
    <rPh sb="108" eb="111">
      <t>コウレイシャ</t>
    </rPh>
    <rPh sb="111" eb="113">
      <t>イリョウ</t>
    </rPh>
    <rPh sb="120" eb="122">
      <t>セイド</t>
    </rPh>
    <rPh sb="123" eb="125">
      <t>イコウ</t>
    </rPh>
    <rPh sb="133" eb="136">
      <t>ヒヨウシャ</t>
    </rPh>
    <rPh sb="136" eb="138">
      <t>ホケン</t>
    </rPh>
    <rPh sb="139" eb="141">
      <t>ダッタイ</t>
    </rPh>
    <rPh sb="143" eb="147">
      <t>ヒフヨウシャ</t>
    </rPh>
    <rPh sb="156" eb="159">
      <t>ホケンリョウ</t>
    </rPh>
    <rPh sb="160" eb="162">
      <t>ゲンメン</t>
    </rPh>
    <rPh sb="162" eb="164">
      <t>ソチ</t>
    </rPh>
    <rPh sb="165" eb="167">
      <t>ハンエイ</t>
    </rPh>
    <rPh sb="185" eb="188">
      <t>サイミマン</t>
    </rPh>
    <rPh sb="189" eb="190">
      <t>ヒ</t>
    </rPh>
    <rPh sb="190" eb="193">
      <t>ジハツテキ</t>
    </rPh>
    <rPh sb="195" eb="196">
      <t>シャ</t>
    </rPh>
    <phoneticPr fontId="10"/>
  </si>
  <si>
    <t>＜問い合わせ＞　綾部市　市民・国保課　医療年金担当　電話0773-42-4246（直通）　</t>
    <rPh sb="1" eb="2">
      <t>ト</t>
    </rPh>
    <rPh sb="3" eb="4">
      <t>ア</t>
    </rPh>
    <rPh sb="8" eb="11">
      <t>アヤベシ</t>
    </rPh>
    <rPh sb="12" eb="14">
      <t>シミン</t>
    </rPh>
    <rPh sb="15" eb="17">
      <t>コクホ</t>
    </rPh>
    <rPh sb="17" eb="18">
      <t>カ</t>
    </rPh>
    <rPh sb="19" eb="23">
      <t>イリョウネンキン</t>
    </rPh>
    <rPh sb="23" eb="25">
      <t>タントウ</t>
    </rPh>
    <rPh sb="26" eb="28">
      <t>デンワ</t>
    </rPh>
    <phoneticPr fontId="10"/>
  </si>
  <si>
    <t>　　● 令和７年度の異なる月に加入する人がいる場合、正しく計算されません。</t>
    <rPh sb="4" eb="6">
      <t>レイワ</t>
    </rPh>
    <rPh sb="7" eb="9">
      <t>ネンド</t>
    </rPh>
    <rPh sb="10" eb="11">
      <t>コト</t>
    </rPh>
    <rPh sb="13" eb="14">
      <t>ツキ</t>
    </rPh>
    <rPh sb="15" eb="17">
      <t>カニュウ</t>
    </rPh>
    <rPh sb="19" eb="20">
      <t>ヒト</t>
    </rPh>
    <rPh sb="23" eb="25">
      <t>バアイ</t>
    </rPh>
    <rPh sb="26" eb="27">
      <t>タダ</t>
    </rPh>
    <rPh sb="29" eb="31">
      <t>ケイサン</t>
    </rPh>
    <phoneticPr fontId="10"/>
  </si>
  <si>
    <t>　　　　（例）　世帯主　→　令和７年４月に加入　、　子　→　令和７年５月に加入</t>
    <rPh sb="5" eb="6">
      <t>レイ</t>
    </rPh>
    <rPh sb="8" eb="11">
      <t>セタイヌシ</t>
    </rPh>
    <rPh sb="14" eb="15">
      <t>レイ</t>
    </rPh>
    <rPh sb="15" eb="16">
      <t>ワ</t>
    </rPh>
    <rPh sb="17" eb="18">
      <t>ネン</t>
    </rPh>
    <rPh sb="19" eb="20">
      <t>ガツ</t>
    </rPh>
    <rPh sb="21" eb="23">
      <t>カニュウ</t>
    </rPh>
    <rPh sb="26" eb="27">
      <t>コ</t>
    </rPh>
    <rPh sb="30" eb="31">
      <t>レイ</t>
    </rPh>
    <rPh sb="31" eb="32">
      <t>ワ</t>
    </rPh>
    <rPh sb="33" eb="34">
      <t>ネン</t>
    </rPh>
    <rPh sb="35" eb="36">
      <t>ガツ</t>
    </rPh>
    <rPh sb="37" eb="39">
      <t>カニュウ</t>
    </rPh>
    <phoneticPr fontId="10"/>
  </si>
  <si>
    <t>　　● 令和７年度中に、「４０歳」、「６５歳」、「７５歳」を迎える人がいる場合、正しく計算されません。　</t>
    <rPh sb="4" eb="6">
      <t>レイワ</t>
    </rPh>
    <rPh sb="7" eb="9">
      <t>ネンド</t>
    </rPh>
    <rPh sb="9" eb="10">
      <t>ナカ</t>
    </rPh>
    <rPh sb="10" eb="11">
      <t>ヒラナカ</t>
    </rPh>
    <rPh sb="15" eb="16">
      <t>サイ</t>
    </rPh>
    <rPh sb="21" eb="22">
      <t>サイ</t>
    </rPh>
    <rPh sb="27" eb="28">
      <t>サイ</t>
    </rPh>
    <rPh sb="30" eb="31">
      <t>ムカ</t>
    </rPh>
    <rPh sb="33" eb="34">
      <t>ヒト</t>
    </rPh>
    <rPh sb="37" eb="39">
      <t>バアイ</t>
    </rPh>
    <rPh sb="40" eb="41">
      <t>タダ</t>
    </rPh>
    <rPh sb="43" eb="45">
      <t>ケイサン</t>
    </rPh>
    <phoneticPr fontId="10"/>
  </si>
  <si>
    <t>　　　・ 公的年金等収入のある人で昭和３５年１月１日以前生まれの場合</t>
    <rPh sb="5" eb="7">
      <t>コウテキ</t>
    </rPh>
    <rPh sb="7" eb="9">
      <t>ネンキン</t>
    </rPh>
    <rPh sb="9" eb="10">
      <t>トウ</t>
    </rPh>
    <rPh sb="10" eb="12">
      <t>シュウニュウ</t>
    </rPh>
    <rPh sb="15" eb="16">
      <t>ヒト</t>
    </rPh>
    <rPh sb="17" eb="19">
      <t>ショウワ</t>
    </rPh>
    <rPh sb="21" eb="22">
      <t>ネン</t>
    </rPh>
    <rPh sb="23" eb="24">
      <t>ガツ</t>
    </rPh>
    <rPh sb="25" eb="26">
      <t>ニチ</t>
    </rPh>
    <rPh sb="26" eb="28">
      <t>イゼン</t>
    </rPh>
    <rPh sb="28" eb="29">
      <t>ウ</t>
    </rPh>
    <rPh sb="32" eb="34">
      <t>バアイ</t>
    </rPh>
    <phoneticPr fontId="10"/>
  </si>
  <si>
    <t>（※１）　軽減判定の際の「所得」は、次の点が所得割算出の際の総所得金額等と異なります。
　　　　　・擬制世帯主の所得も判定に含まれます。
　　　　　・事業収入の場合、青色専従者及び事業専従者控除は必要経費に含まれません。
　　　　　・給与収入の場合、専従者給与額は含まれません。
　　　　　・公的年金等収入の場合、昭和３５年１月１日以前の生まれの人は、公的年金等控除後の所得から、
　　　　　　さらに１５万円を控除します。
　　　　　・土地、建物等の譲渡所得は、譲渡所得にかかる特別控除を差し引く前の金額となります。
（※２）　「給与所得者等の数」とは、給与収入55万円超の人又は公的年金等に係る所得を有する人（公的年金等の
　　　 収入金額が65歳未満は60万円超の人、65歳以上は125万円超の人）をいいます。
（※３）　「被保険者数」には、同じ世帯の中で国民健康保険の被保険者から後期高齢者医療の被保険者に移行した者
　　　 を含みます。</t>
    <rPh sb="5" eb="7">
      <t>ケイゲン</t>
    </rPh>
    <rPh sb="7" eb="9">
      <t>ハンテイ</t>
    </rPh>
    <rPh sb="10" eb="11">
      <t>サイ</t>
    </rPh>
    <rPh sb="13" eb="15">
      <t>ショトク</t>
    </rPh>
    <rPh sb="22" eb="24">
      <t>ショトク</t>
    </rPh>
    <rPh sb="24" eb="25">
      <t>ワリ</t>
    </rPh>
    <rPh sb="28" eb="29">
      <t>サイ</t>
    </rPh>
    <rPh sb="35" eb="36">
      <t>トウ</t>
    </rPh>
    <rPh sb="37" eb="38">
      <t>コト</t>
    </rPh>
    <rPh sb="50" eb="52">
      <t>ギセイ</t>
    </rPh>
    <rPh sb="52" eb="55">
      <t>セタイヌシ</t>
    </rPh>
    <rPh sb="56" eb="58">
      <t>ショトク</t>
    </rPh>
    <rPh sb="59" eb="61">
      <t>ハンテイ</t>
    </rPh>
    <rPh sb="62" eb="63">
      <t>フク</t>
    </rPh>
    <rPh sb="75" eb="77">
      <t>ジギョウ</t>
    </rPh>
    <rPh sb="77" eb="79">
      <t>シュウニュウ</t>
    </rPh>
    <rPh sb="80" eb="82">
      <t>バアイ</t>
    </rPh>
    <rPh sb="83" eb="85">
      <t>アオイロ</t>
    </rPh>
    <rPh sb="85" eb="88">
      <t>センジュウシャ</t>
    </rPh>
    <rPh sb="88" eb="89">
      <t>オヨ</t>
    </rPh>
    <rPh sb="90" eb="92">
      <t>ジギョウ</t>
    </rPh>
    <rPh sb="92" eb="95">
      <t>センジュウシャ</t>
    </rPh>
    <rPh sb="95" eb="97">
      <t>コウジョ</t>
    </rPh>
    <rPh sb="98" eb="100">
      <t>ヒツヨウ</t>
    </rPh>
    <rPh sb="100" eb="102">
      <t>ケイヒ</t>
    </rPh>
    <rPh sb="103" eb="104">
      <t>フク</t>
    </rPh>
    <rPh sb="117" eb="119">
      <t>キュウヨ</t>
    </rPh>
    <rPh sb="119" eb="121">
      <t>シュウニュウ</t>
    </rPh>
    <rPh sb="122" eb="124">
      <t>バアイ</t>
    </rPh>
    <rPh sb="125" eb="128">
      <t>センジュウシャ</t>
    </rPh>
    <rPh sb="128" eb="130">
      <t>キュウヨ</t>
    </rPh>
    <rPh sb="130" eb="131">
      <t>ガク</t>
    </rPh>
    <rPh sb="132" eb="133">
      <t>フク</t>
    </rPh>
    <rPh sb="146" eb="148">
      <t>コウテキ</t>
    </rPh>
    <rPh sb="148" eb="150">
      <t>ネンキン</t>
    </rPh>
    <rPh sb="150" eb="151">
      <t>トウ</t>
    </rPh>
    <rPh sb="151" eb="153">
      <t>シュウニュウ</t>
    </rPh>
    <rPh sb="154" eb="156">
      <t>バアイ</t>
    </rPh>
    <rPh sb="157" eb="159">
      <t>ショウワ</t>
    </rPh>
    <rPh sb="161" eb="162">
      <t>ネン</t>
    </rPh>
    <rPh sb="163" eb="164">
      <t>ガツ</t>
    </rPh>
    <rPh sb="165" eb="166">
      <t>ニチ</t>
    </rPh>
    <rPh sb="166" eb="168">
      <t>イゼン</t>
    </rPh>
    <rPh sb="169" eb="170">
      <t>ウ</t>
    </rPh>
    <rPh sb="173" eb="174">
      <t>ヒト</t>
    </rPh>
    <rPh sb="176" eb="178">
      <t>コウテキ</t>
    </rPh>
    <rPh sb="178" eb="180">
      <t>ネンキン</t>
    </rPh>
    <rPh sb="180" eb="181">
      <t>トウ</t>
    </rPh>
    <rPh sb="181" eb="183">
      <t>コウジョ</t>
    </rPh>
    <rPh sb="183" eb="184">
      <t>ゴ</t>
    </rPh>
    <rPh sb="185" eb="187">
      <t>ショトク</t>
    </rPh>
    <rPh sb="202" eb="204">
      <t>マンエン</t>
    </rPh>
    <rPh sb="205" eb="207">
      <t>コウジョ</t>
    </rPh>
    <rPh sb="218" eb="220">
      <t>トチ</t>
    </rPh>
    <rPh sb="221" eb="223">
      <t>タテモノ</t>
    </rPh>
    <rPh sb="223" eb="224">
      <t>トウ</t>
    </rPh>
    <rPh sb="225" eb="227">
      <t>ジョウト</t>
    </rPh>
    <rPh sb="227" eb="229">
      <t>ショトク</t>
    </rPh>
    <rPh sb="231" eb="233">
      <t>ジョウト</t>
    </rPh>
    <rPh sb="233" eb="235">
      <t>ショトク</t>
    </rPh>
    <rPh sb="239" eb="241">
      <t>トクベツ</t>
    </rPh>
    <rPh sb="241" eb="243">
      <t>コウジョ</t>
    </rPh>
    <rPh sb="244" eb="245">
      <t>サ</t>
    </rPh>
    <rPh sb="246" eb="247">
      <t>ヒ</t>
    </rPh>
    <rPh sb="248" eb="249">
      <t>マエ</t>
    </rPh>
    <rPh sb="250" eb="252">
      <t>キンガク</t>
    </rPh>
    <rPh sb="266" eb="268">
      <t>キュウヨ</t>
    </rPh>
    <rPh sb="268" eb="270">
      <t>ショトク</t>
    </rPh>
    <rPh sb="270" eb="271">
      <t>シャ</t>
    </rPh>
    <rPh sb="271" eb="272">
      <t>トウ</t>
    </rPh>
    <rPh sb="273" eb="274">
      <t>カズ</t>
    </rPh>
    <rPh sb="278" eb="280">
      <t>キュウヨ</t>
    </rPh>
    <rPh sb="280" eb="282">
      <t>シュウニュウ</t>
    </rPh>
    <rPh sb="284" eb="286">
      <t>マンエン</t>
    </rPh>
    <rPh sb="286" eb="287">
      <t>コ</t>
    </rPh>
    <rPh sb="288" eb="289">
      <t>ヒト</t>
    </rPh>
    <rPh sb="289" eb="290">
      <t>マタ</t>
    </rPh>
    <rPh sb="291" eb="293">
      <t>コウテキ</t>
    </rPh>
    <rPh sb="293" eb="295">
      <t>ネンキン</t>
    </rPh>
    <rPh sb="295" eb="296">
      <t>トウ</t>
    </rPh>
    <rPh sb="297" eb="298">
      <t>カカ</t>
    </rPh>
    <rPh sb="299" eb="301">
      <t>ショトク</t>
    </rPh>
    <rPh sb="302" eb="303">
      <t>ユウ</t>
    </rPh>
    <rPh sb="305" eb="306">
      <t>ヒト</t>
    </rPh>
    <rPh sb="307" eb="309">
      <t>コウテキ</t>
    </rPh>
    <rPh sb="309" eb="311">
      <t>ネンキン</t>
    </rPh>
    <rPh sb="311" eb="312">
      <t>トウ</t>
    </rPh>
    <rPh sb="318" eb="320">
      <t>シュウニュウ</t>
    </rPh>
    <rPh sb="320" eb="322">
      <t>キンガク</t>
    </rPh>
    <rPh sb="325" eb="328">
      <t>サイミマン</t>
    </rPh>
    <rPh sb="331" eb="333">
      <t>マンエン</t>
    </rPh>
    <rPh sb="333" eb="334">
      <t>コ</t>
    </rPh>
    <rPh sb="335" eb="336">
      <t>ヒト</t>
    </rPh>
    <rPh sb="339" eb="342">
      <t>サイイジョウ</t>
    </rPh>
    <rPh sb="346" eb="348">
      <t>マンエン</t>
    </rPh>
    <rPh sb="348" eb="349">
      <t>コ</t>
    </rPh>
    <rPh sb="350" eb="351">
      <t>ヒト</t>
    </rPh>
    <rPh sb="366" eb="370">
      <t>ヒホケンシャ</t>
    </rPh>
    <rPh sb="370" eb="371">
      <t>スウ</t>
    </rPh>
    <rPh sb="375" eb="376">
      <t>オナ</t>
    </rPh>
    <rPh sb="377" eb="379">
      <t>セタイ</t>
    </rPh>
    <rPh sb="380" eb="381">
      <t>ナカ</t>
    </rPh>
    <rPh sb="382" eb="384">
      <t>コクミン</t>
    </rPh>
    <rPh sb="384" eb="386">
      <t>ケンコウ</t>
    </rPh>
    <rPh sb="386" eb="388">
      <t>ホケン</t>
    </rPh>
    <rPh sb="389" eb="393">
      <t>ヒホケンシャ</t>
    </rPh>
    <rPh sb="395" eb="397">
      <t>コウキ</t>
    </rPh>
    <rPh sb="397" eb="400">
      <t>コウレイシャ</t>
    </rPh>
    <rPh sb="400" eb="402">
      <t>イリョウ</t>
    </rPh>
    <rPh sb="403" eb="407">
      <t>ヒホケンシャ</t>
    </rPh>
    <rPh sb="408" eb="410">
      <t>イコウ</t>
    </rPh>
    <rPh sb="412" eb="413">
      <t>モノ</t>
    </rPh>
    <rPh sb="419" eb="420">
      <t>フク</t>
    </rPh>
    <phoneticPr fontId="10"/>
  </si>
  <si>
    <t>↓　令和６年中の給与収入（総支給額）
↓　の合計を入力してください。</t>
    <rPh sb="2" eb="3">
      <t>レイ</t>
    </rPh>
    <rPh sb="3" eb="4">
      <t>ワ</t>
    </rPh>
    <rPh sb="5" eb="6">
      <t>ネン</t>
    </rPh>
    <rPh sb="6" eb="7">
      <t>チュウ</t>
    </rPh>
    <rPh sb="8" eb="12">
      <t>キュウヨシュウニュウ</t>
    </rPh>
    <rPh sb="13" eb="14">
      <t>ソウ</t>
    </rPh>
    <rPh sb="14" eb="17">
      <t>シキュウガク</t>
    </rPh>
    <rPh sb="22" eb="24">
      <t>ゴウケイ</t>
    </rPh>
    <rPh sb="25" eb="27">
      <t>ニュウリョク</t>
    </rPh>
    <phoneticPr fontId="10"/>
  </si>
  <si>
    <t>６５歳以上（昭和３５年１月１日以前生まれ）</t>
    <rPh sb="2" eb="5">
      <t>サイイジョウ</t>
    </rPh>
    <rPh sb="6" eb="8">
      <t>ショウワ</t>
    </rPh>
    <rPh sb="10" eb="11">
      <t>ネン</t>
    </rPh>
    <rPh sb="12" eb="13">
      <t>ガツ</t>
    </rPh>
    <rPh sb="14" eb="15">
      <t>ニチ</t>
    </rPh>
    <rPh sb="15" eb="17">
      <t>イゼン</t>
    </rPh>
    <rPh sb="17" eb="18">
      <t>ウ</t>
    </rPh>
    <phoneticPr fontId="10"/>
  </si>
  <si>
    <t>６５歳未満（昭和３５年１月２日以降生まれ）</t>
    <rPh sb="2" eb="3">
      <t>サイ</t>
    </rPh>
    <rPh sb="3" eb="5">
      <t>ミマン</t>
    </rPh>
    <rPh sb="6" eb="8">
      <t>ショウワ</t>
    </rPh>
    <rPh sb="10" eb="11">
      <t>ネン</t>
    </rPh>
    <rPh sb="12" eb="13">
      <t>ガツ</t>
    </rPh>
    <rPh sb="14" eb="15">
      <t>ニチ</t>
    </rPh>
    <rPh sb="15" eb="17">
      <t>イコウ</t>
    </rPh>
    <rPh sb="17" eb="18">
      <t>ウ</t>
    </rPh>
    <phoneticPr fontId="10"/>
  </si>
  <si>
    <t>　←　令和７年１月１日時点の年齢を入力してください。</t>
    <rPh sb="3" eb="4">
      <t>レイ</t>
    </rPh>
    <rPh sb="4" eb="5">
      <t>ワ</t>
    </rPh>
    <rPh sb="6" eb="7">
      <t>ネン</t>
    </rPh>
    <rPh sb="8" eb="9">
      <t>ガツ</t>
    </rPh>
    <rPh sb="10" eb="11">
      <t>ニチ</t>
    </rPh>
    <rPh sb="11" eb="13">
      <t>ジテン</t>
    </rPh>
    <rPh sb="14" eb="16">
      <t>ネンレイ</t>
    </rPh>
    <rPh sb="17" eb="19">
      <t>ニュウリョク</t>
    </rPh>
    <phoneticPr fontId="10"/>
  </si>
  <si>
    <t>↓　令和６年中の公的年金等収入金額
↓　を入力してください。</t>
    <rPh sb="2" eb="4">
      <t>レイワ</t>
    </rPh>
    <rPh sb="5" eb="6">
      <t>ネン</t>
    </rPh>
    <rPh sb="6" eb="7">
      <t>チュウ</t>
    </rPh>
    <rPh sb="8" eb="10">
      <t>コウテキ</t>
    </rPh>
    <rPh sb="10" eb="12">
      <t>ネンキン</t>
    </rPh>
    <rPh sb="12" eb="13">
      <t>トウ</t>
    </rPh>
    <rPh sb="13" eb="15">
      <t>シュウニュウ</t>
    </rPh>
    <rPh sb="15" eb="17">
      <t>キンガク</t>
    </rPh>
    <rPh sb="21" eb="23">
      <t>ニュウリョク</t>
    </rPh>
    <phoneticPr fontId="10"/>
  </si>
  <si>
    <t>令和７年度綾部市国民健康保険料試算シート</t>
    <rPh sb="0" eb="2">
      <t>レイワ</t>
    </rPh>
    <rPh sb="3" eb="5">
      <t>ネンド</t>
    </rPh>
    <rPh sb="5" eb="8">
      <t>アヤベシ</t>
    </rPh>
    <rPh sb="8" eb="10">
      <t>コクミン</t>
    </rPh>
    <rPh sb="10" eb="12">
      <t>ケンコウ</t>
    </rPh>
    <rPh sb="12" eb="15">
      <t>ホケンリョウ</t>
    </rPh>
    <rPh sb="15" eb="17">
      <t>シサン</t>
    </rPh>
    <phoneticPr fontId="2"/>
  </si>
  <si>
    <t>令和６年中の総所得金額等
（全員分）</t>
    <rPh sb="0" eb="2">
      <t>レイワ</t>
    </rPh>
    <rPh sb="3" eb="4">
      <t>ネン</t>
    </rPh>
    <rPh sb="4" eb="5">
      <t>チュウ</t>
    </rPh>
    <rPh sb="6" eb="9">
      <t>ソウショトク</t>
    </rPh>
    <rPh sb="9" eb="11">
      <t>キンガク</t>
    </rPh>
    <rPh sb="11" eb="12">
      <t>トウ</t>
    </rPh>
    <rPh sb="14" eb="16">
      <t>ゼンイン</t>
    </rPh>
    <rPh sb="16" eb="17">
      <t>ブン</t>
    </rPh>
    <phoneticPr fontId="2"/>
  </si>
  <si>
    <t>令和７年度綾部市国民健康保険料計算式</t>
    <rPh sb="0" eb="2">
      <t>レイワ</t>
    </rPh>
    <rPh sb="3" eb="5">
      <t>ネンド</t>
    </rPh>
    <rPh sb="5" eb="7">
      <t>アヤベ</t>
    </rPh>
    <rPh sb="7" eb="8">
      <t>シ</t>
    </rPh>
    <rPh sb="8" eb="10">
      <t>コクミン</t>
    </rPh>
    <rPh sb="10" eb="12">
      <t>ケンコウ</t>
    </rPh>
    <rPh sb="12" eb="14">
      <t>ホケン</t>
    </rPh>
    <rPh sb="14" eb="15">
      <t>リョウ</t>
    </rPh>
    <rPh sb="15" eb="17">
      <t>ケイサン</t>
    </rPh>
    <rPh sb="17" eb="18">
      <t>シキ</t>
    </rPh>
    <phoneticPr fontId="10"/>
  </si>
  <si>
    <t>　前年の世帯の所得合計（※１）≦43万円＋（30.5万円×被保険者数（※３））＋10万円×(給与所得者等の数（※２）－1)</t>
    <rPh sb="1" eb="3">
      <t>ゼンネン</t>
    </rPh>
    <rPh sb="4" eb="6">
      <t>セタイ</t>
    </rPh>
    <rPh sb="7" eb="9">
      <t>ショトク</t>
    </rPh>
    <rPh sb="9" eb="11">
      <t>ゴウケイ</t>
    </rPh>
    <rPh sb="18" eb="19">
      <t>マン</t>
    </rPh>
    <rPh sb="19" eb="20">
      <t>エン</t>
    </rPh>
    <rPh sb="26" eb="27">
      <t>マン</t>
    </rPh>
    <rPh sb="27" eb="28">
      <t>エン</t>
    </rPh>
    <rPh sb="29" eb="33">
      <t>ヒホケンシャ</t>
    </rPh>
    <rPh sb="33" eb="34">
      <t>カズ</t>
    </rPh>
    <rPh sb="42" eb="43">
      <t>マン</t>
    </rPh>
    <phoneticPr fontId="10"/>
  </si>
  <si>
    <t>　前年の世帯の所得合計（※１）≦43万円＋（56万円×被保険者数（※３））＋10万円×(給与所得者等の数（※２）－1)</t>
    <rPh sb="1" eb="3">
      <t>ゼンネン</t>
    </rPh>
    <rPh sb="4" eb="6">
      <t>セタイ</t>
    </rPh>
    <rPh sb="7" eb="9">
      <t>ショトク</t>
    </rPh>
    <rPh sb="9" eb="11">
      <t>ゴウケイ</t>
    </rPh>
    <rPh sb="18" eb="19">
      <t>マン</t>
    </rPh>
    <rPh sb="19" eb="20">
      <t>エン</t>
    </rPh>
    <rPh sb="24" eb="25">
      <t>マン</t>
    </rPh>
    <rPh sb="25" eb="26">
      <t>エン</t>
    </rPh>
    <rPh sb="27" eb="31">
      <t>ヒホケンシャ</t>
    </rPh>
    <rPh sb="31" eb="32">
      <t>カズ</t>
    </rPh>
    <rPh sb="40" eb="41">
      <t>マン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</si>
</sst>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 &quot;人&quot;"/>
    <numFmt numFmtId="177" formatCode="0&quot;割&quot;"/>
    <numFmt numFmtId="178" formatCode="0&quot;人&quot;"/>
    <numFmt numFmtId="179" formatCode="#,##0\ &quot;円&quot;"/>
    <numFmt numFmtId="180" formatCode="0\ &quot;割&quot;"/>
    <numFmt numFmtId="181" formatCode="###,###&quot;円&quot;"/>
    <numFmt numFmtId="182" formatCode="#,##0_ "/>
    <numFmt numFmtId="183" formatCode=";;;"/>
    <numFmt numFmtId="184" formatCode="0\ &quot;歳&quot;"/>
    <numFmt numFmtId="185" formatCode="0_);[Red]\(0\)"/>
  </numFmts>
  <fonts count="4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11"/>
      <name val="ＭＳ Ｐゴシック"/>
      <family val="3"/>
      <charset val="128"/>
    </font>
    <font>
      <sz val="16"/>
      <color theme="1"/>
      <name val="ＭＳ Ｐゴシック"/>
      <family val="3"/>
      <charset val="128"/>
    </font>
    <font>
      <sz val="18"/>
      <color theme="1"/>
      <name val="ＭＳ Ｐゴシック"/>
      <family val="3"/>
      <charset val="128"/>
    </font>
    <font>
      <sz val="11"/>
      <color indexed="9"/>
      <name val="ＭＳ Ｐゴシック"/>
      <family val="3"/>
      <charset val="128"/>
    </font>
    <font>
      <sz val="24"/>
      <name val="ＭＳ Ｐ明朝"/>
      <family val="1"/>
      <charset val="128"/>
    </font>
    <font>
      <sz val="6"/>
      <name val="ＭＳ Ｐゴシック"/>
      <family val="3"/>
      <charset val="128"/>
    </font>
    <font>
      <sz val="13"/>
      <name val="ＭＳ Ｐ明朝"/>
      <family val="1"/>
      <charset val="128"/>
    </font>
    <font>
      <sz val="14"/>
      <color indexed="9"/>
      <name val="ＭＳ Ｐ明朝"/>
      <family val="1"/>
      <charset val="128"/>
    </font>
    <font>
      <sz val="14"/>
      <name val="ＭＳ Ｐ明朝"/>
      <family val="1"/>
      <charset val="128"/>
    </font>
    <font>
      <b/>
      <sz val="16"/>
      <name val="ＭＳ Ｐ明朝"/>
      <family val="1"/>
      <charset val="128"/>
    </font>
    <font>
      <sz val="14"/>
      <color indexed="10"/>
      <name val="ＭＳ Ｐ明朝"/>
      <family val="1"/>
      <charset val="128"/>
    </font>
    <font>
      <sz val="16"/>
      <name val="ＭＳ Ｐ明朝"/>
      <family val="1"/>
      <charset val="128"/>
    </font>
    <font>
      <sz val="14"/>
      <color indexed="12"/>
      <name val="ＭＳ Ｐ明朝"/>
      <family val="1"/>
      <charset val="128"/>
    </font>
    <font>
      <sz val="20"/>
      <name val="ＭＳ Ｐ明朝"/>
      <family val="1"/>
      <charset val="128"/>
    </font>
    <font>
      <b/>
      <sz val="14"/>
      <name val="ＭＳ Ｐ明朝"/>
      <family val="1"/>
      <charset val="128"/>
    </font>
    <font>
      <b/>
      <sz val="14"/>
      <color indexed="12"/>
      <name val="ＭＳ Ｐ明朝"/>
      <family val="1"/>
      <charset val="128"/>
    </font>
    <font>
      <sz val="10"/>
      <name val="ＭＳ Ｐ明朝"/>
      <family val="1"/>
      <charset val="128"/>
    </font>
    <font>
      <sz val="10"/>
      <color indexed="12"/>
      <name val="ＭＳ Ｐ明朝"/>
      <family val="1"/>
      <charset val="128"/>
    </font>
    <font>
      <b/>
      <sz val="20"/>
      <name val="ＭＳ Ｐ明朝"/>
      <family val="1"/>
      <charset val="128"/>
    </font>
    <font>
      <sz val="18"/>
      <name val="ＭＳ Ｐ明朝"/>
      <family val="1"/>
      <charset val="128"/>
    </font>
    <font>
      <sz val="11"/>
      <color indexed="81"/>
      <name val="MS P ゴシック"/>
      <family val="3"/>
      <charset val="128"/>
    </font>
    <font>
      <b/>
      <sz val="18"/>
      <name val="ＭＳ Ｐ明朝"/>
      <family val="1"/>
      <charset val="128"/>
    </font>
    <font>
      <sz val="12"/>
      <name val="ＭＳ Ｐゴシック"/>
      <family val="3"/>
      <charset val="128"/>
    </font>
    <font>
      <b/>
      <sz val="12"/>
      <name val="ＭＳ Ｐゴシック"/>
      <family val="3"/>
      <charset val="128"/>
    </font>
    <font>
      <sz val="9"/>
      <name val="ＭＳ Ｐゴシック"/>
      <family val="3"/>
      <charset val="128"/>
    </font>
    <font>
      <sz val="14"/>
      <name val="ＭＳ Ｐゴシック"/>
      <family val="3"/>
      <charset val="128"/>
    </font>
    <font>
      <sz val="72"/>
      <name val="ＭＳ Ｐゴシック"/>
      <family val="3"/>
      <charset val="128"/>
    </font>
    <font>
      <sz val="12"/>
      <color indexed="10"/>
      <name val="ＭＳ Ｐゴシック"/>
      <family val="3"/>
      <charset val="128"/>
    </font>
    <font>
      <b/>
      <sz val="11"/>
      <name val="ＭＳ Ｐゴシック"/>
      <family val="3"/>
      <charset val="128"/>
    </font>
    <font>
      <sz val="8"/>
      <name val="ＭＳ Ｐゴシック"/>
      <family val="3"/>
      <charset val="128"/>
    </font>
    <font>
      <b/>
      <sz val="48"/>
      <color rgb="FFFF0000"/>
      <name val="游ゴシック"/>
      <family val="3"/>
      <charset val="128"/>
      <scheme val="minor"/>
    </font>
    <font>
      <b/>
      <sz val="16"/>
      <color rgb="FFFF0000"/>
      <name val="ＭＳ Ｐゴシック"/>
      <family val="3"/>
      <charset val="128"/>
    </font>
    <font>
      <sz val="18"/>
      <color indexed="12"/>
      <name val="ＭＳ Ｐ明朝"/>
      <family val="1"/>
      <charset val="128"/>
    </font>
    <font>
      <sz val="15"/>
      <color theme="1"/>
      <name val="ＭＳ Ｐゴシック"/>
      <family val="3"/>
      <charset val="128"/>
    </font>
    <font>
      <b/>
      <sz val="18"/>
      <color rgb="FFFF0000"/>
      <name val="游ゴシック"/>
      <family val="3"/>
      <charset val="128"/>
      <scheme val="minor"/>
    </font>
    <font>
      <sz val="11"/>
      <color indexed="10"/>
      <name val="ＭＳ Ｐゴシック"/>
      <family val="3"/>
      <charset val="128"/>
    </font>
  </fonts>
  <fills count="11">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92D05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top/>
      <bottom style="double">
        <color indexed="64"/>
      </bottom>
      <diagonal/>
    </border>
    <border>
      <left/>
      <right/>
      <top style="double">
        <color indexed="64"/>
      </top>
      <bottom/>
      <diagonal/>
    </border>
    <border>
      <left/>
      <right style="hair">
        <color indexed="64"/>
      </right>
      <top style="thin">
        <color indexed="64"/>
      </top>
      <bottom style="thin">
        <color indexed="64"/>
      </bottom>
      <diagonal/>
    </border>
    <border>
      <left style="thin">
        <color rgb="FF002060"/>
      </left>
      <right style="hair">
        <color rgb="FF002060"/>
      </right>
      <top style="thin">
        <color rgb="FF002060"/>
      </top>
      <bottom style="thin">
        <color rgb="FF002060"/>
      </bottom>
      <diagonal/>
    </border>
    <border>
      <left style="hair">
        <color rgb="FF002060"/>
      </left>
      <right style="hair">
        <color rgb="FF002060"/>
      </right>
      <top style="thin">
        <color rgb="FF002060"/>
      </top>
      <bottom style="thin">
        <color rgb="FF002060"/>
      </bottom>
      <diagonal/>
    </border>
    <border>
      <left style="hair">
        <color rgb="FF002060"/>
      </left>
      <right style="double">
        <color rgb="FF002060"/>
      </right>
      <top style="thin">
        <color rgb="FF002060"/>
      </top>
      <bottom style="thin">
        <color rgb="FF002060"/>
      </bottom>
      <diagonal/>
    </border>
    <border>
      <left style="double">
        <color rgb="FF002060"/>
      </left>
      <right style="hair">
        <color rgb="FF002060"/>
      </right>
      <top style="thin">
        <color rgb="FF002060"/>
      </top>
      <bottom style="thin">
        <color rgb="FF002060"/>
      </bottom>
      <diagonal/>
    </border>
    <border>
      <left style="hair">
        <color rgb="FF002060"/>
      </left>
      <right style="thin">
        <color rgb="FF002060"/>
      </right>
      <top style="thin">
        <color rgb="FF002060"/>
      </top>
      <bottom style="thin">
        <color rgb="FF002060"/>
      </bottom>
      <diagonal/>
    </border>
    <border>
      <left style="thin">
        <color rgb="FF002060"/>
      </left>
      <right style="hair">
        <color rgb="FF002060"/>
      </right>
      <top/>
      <bottom style="hair">
        <color rgb="FF002060"/>
      </bottom>
      <diagonal/>
    </border>
    <border>
      <left style="hair">
        <color rgb="FF002060"/>
      </left>
      <right style="hair">
        <color rgb="FF002060"/>
      </right>
      <top/>
      <bottom style="hair">
        <color rgb="FF002060"/>
      </bottom>
      <diagonal/>
    </border>
    <border>
      <left style="hair">
        <color rgb="FF002060"/>
      </left>
      <right/>
      <top/>
      <bottom style="hair">
        <color rgb="FF002060"/>
      </bottom>
      <diagonal/>
    </border>
    <border>
      <left style="double">
        <color rgb="FF002060"/>
      </left>
      <right style="hair">
        <color rgb="FF002060"/>
      </right>
      <top/>
      <bottom style="hair">
        <color rgb="FF002060"/>
      </bottom>
      <diagonal/>
    </border>
    <border>
      <left style="hair">
        <color rgb="FF002060"/>
      </left>
      <right style="thin">
        <color rgb="FF002060"/>
      </right>
      <top/>
      <bottom style="hair">
        <color rgb="FF002060"/>
      </bottom>
      <diagonal/>
    </border>
    <border>
      <left style="thin">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hair">
        <color rgb="FF002060"/>
      </left>
      <right/>
      <top style="hair">
        <color rgb="FF002060"/>
      </top>
      <bottom style="hair">
        <color rgb="FF002060"/>
      </bottom>
      <diagonal/>
    </border>
    <border>
      <left style="double">
        <color rgb="FF002060"/>
      </left>
      <right style="hair">
        <color rgb="FF002060"/>
      </right>
      <top style="hair">
        <color rgb="FF002060"/>
      </top>
      <bottom style="hair">
        <color rgb="FF002060"/>
      </bottom>
      <diagonal/>
    </border>
    <border>
      <left style="hair">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style="thin">
        <color rgb="FF002060"/>
      </bottom>
      <diagonal/>
    </border>
    <border>
      <left style="hair">
        <color rgb="FF002060"/>
      </left>
      <right style="hair">
        <color rgb="FF002060"/>
      </right>
      <top style="hair">
        <color rgb="FF002060"/>
      </top>
      <bottom style="thin">
        <color rgb="FF002060"/>
      </bottom>
      <diagonal/>
    </border>
    <border>
      <left style="hair">
        <color rgb="FF002060"/>
      </left>
      <right/>
      <top style="hair">
        <color rgb="FF002060"/>
      </top>
      <bottom style="thin">
        <color rgb="FF002060"/>
      </bottom>
      <diagonal/>
    </border>
    <border diagonalDown="1">
      <left style="double">
        <color rgb="FF002060"/>
      </left>
      <right style="hair">
        <color rgb="FF002060"/>
      </right>
      <top style="hair">
        <color rgb="FF002060"/>
      </top>
      <bottom style="thin">
        <color rgb="FF002060"/>
      </bottom>
      <diagonal style="thin">
        <color indexed="8"/>
      </diagonal>
    </border>
    <border diagonalDown="1">
      <left style="hair">
        <color rgb="FF002060"/>
      </left>
      <right style="hair">
        <color rgb="FF002060"/>
      </right>
      <top style="hair">
        <color rgb="FF002060"/>
      </top>
      <bottom style="thin">
        <color rgb="FF002060"/>
      </bottom>
      <diagonal style="thin">
        <color indexed="8"/>
      </diagonal>
    </border>
    <border diagonalDown="1">
      <left style="hair">
        <color rgb="FF002060"/>
      </left>
      <right style="hair">
        <color indexed="64"/>
      </right>
      <top style="hair">
        <color rgb="FF002060"/>
      </top>
      <bottom style="thin">
        <color rgb="FF002060"/>
      </bottom>
      <diagonal style="thin">
        <color indexed="8"/>
      </diagonal>
    </border>
    <border diagonalDown="1">
      <left style="hair">
        <color indexed="64"/>
      </left>
      <right style="hair">
        <color rgb="FF002060"/>
      </right>
      <top style="hair">
        <color rgb="FF002060"/>
      </top>
      <bottom style="thin">
        <color rgb="FF002060"/>
      </bottom>
      <diagonal style="thin">
        <color indexed="8"/>
      </diagonal>
    </border>
    <border diagonalDown="1">
      <left style="hair">
        <color rgb="FF002060"/>
      </left>
      <right style="thin">
        <color rgb="FF002060"/>
      </right>
      <top style="hair">
        <color rgb="FF002060"/>
      </top>
      <bottom style="thin">
        <color rgb="FF002060"/>
      </bottom>
      <diagonal style="thin">
        <color indexed="8"/>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double">
        <color rgb="FF002060"/>
      </right>
      <top style="thin">
        <color rgb="FF002060"/>
      </top>
      <bottom style="thin">
        <color rgb="FF002060"/>
      </bottom>
      <diagonal/>
    </border>
    <border>
      <left style="double">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double">
        <color rgb="FF002060"/>
      </left>
      <right/>
      <top style="thin">
        <color rgb="FF002060"/>
      </top>
      <bottom style="hair">
        <color rgb="FF002060"/>
      </bottom>
      <diagonal/>
    </border>
    <border>
      <left/>
      <right/>
      <top style="thin">
        <color rgb="FF002060"/>
      </top>
      <bottom style="hair">
        <color rgb="FF002060"/>
      </bottom>
      <diagonal/>
    </border>
    <border>
      <left/>
      <right style="hair">
        <color rgb="FF002060"/>
      </right>
      <top style="thin">
        <color rgb="FF002060"/>
      </top>
      <bottom style="hair">
        <color rgb="FF002060"/>
      </bottom>
      <diagonal/>
    </border>
    <border>
      <left style="hair">
        <color rgb="FF002060"/>
      </left>
      <right/>
      <top style="thin">
        <color rgb="FF002060"/>
      </top>
      <bottom style="hair">
        <color rgb="FF002060"/>
      </bottom>
      <diagonal/>
    </border>
    <border>
      <left/>
      <right style="thin">
        <color rgb="FF002060"/>
      </right>
      <top style="thin">
        <color rgb="FF002060"/>
      </top>
      <bottom style="hair">
        <color rgb="FF002060"/>
      </bottom>
      <diagonal/>
    </border>
    <border>
      <left style="thin">
        <color rgb="FF002060"/>
      </left>
      <right style="hair">
        <color rgb="FF002060"/>
      </right>
      <top/>
      <bottom style="thin">
        <color rgb="FF002060"/>
      </bottom>
      <diagonal/>
    </border>
    <border>
      <left style="hair">
        <color rgb="FF002060"/>
      </left>
      <right style="hair">
        <color rgb="FF002060"/>
      </right>
      <top/>
      <bottom style="thin">
        <color rgb="FF002060"/>
      </bottom>
      <diagonal/>
    </border>
    <border>
      <left style="hair">
        <color rgb="FF002060"/>
      </left>
      <right/>
      <top/>
      <bottom style="thin">
        <color rgb="FF002060"/>
      </bottom>
      <diagonal/>
    </border>
    <border>
      <left style="double">
        <color rgb="FF002060"/>
      </left>
      <right style="hair">
        <color rgb="FF002060"/>
      </right>
      <top/>
      <bottom style="thin">
        <color rgb="FF002060"/>
      </bottom>
      <diagonal/>
    </border>
    <border>
      <left style="hair">
        <color rgb="FF002060"/>
      </left>
      <right style="thin">
        <color rgb="FF002060"/>
      </right>
      <top/>
      <bottom style="thin">
        <color rgb="FF002060"/>
      </bottom>
      <diagonal/>
    </border>
    <border>
      <left style="medium">
        <color rgb="FF002060"/>
      </left>
      <right style="medium">
        <color rgb="FF002060"/>
      </right>
      <top style="medium">
        <color rgb="FF002060"/>
      </top>
      <bottom style="medium">
        <color rgb="FF002060"/>
      </bottom>
      <diagonal/>
    </border>
    <border>
      <left style="hair">
        <color rgb="FF002060"/>
      </left>
      <right/>
      <top style="thin">
        <color indexed="64"/>
      </top>
      <bottom/>
      <diagonal/>
    </border>
    <border>
      <left style="hair">
        <color rgb="FF002060"/>
      </left>
      <right/>
      <top style="thin">
        <color indexed="64"/>
      </top>
      <bottom style="hair">
        <color rgb="FF002060"/>
      </bottom>
      <diagonal/>
    </border>
    <border>
      <left/>
      <right/>
      <top style="thin">
        <color indexed="64"/>
      </top>
      <bottom style="hair">
        <color rgb="FF002060"/>
      </bottom>
      <diagonal/>
    </border>
    <border>
      <left/>
      <right style="thin">
        <color indexed="64"/>
      </right>
      <top style="thin">
        <color indexed="64"/>
      </top>
      <bottom style="hair">
        <color rgb="FF002060"/>
      </bottom>
      <diagonal/>
    </border>
    <border>
      <left/>
      <right/>
      <top style="hair">
        <color rgb="FF002060"/>
      </top>
      <bottom style="hair">
        <color rgb="FF002060"/>
      </bottom>
      <diagonal/>
    </border>
    <border>
      <left/>
      <right style="thin">
        <color indexed="64"/>
      </right>
      <top style="hair">
        <color rgb="FF002060"/>
      </top>
      <bottom style="hair">
        <color rgb="FF002060"/>
      </bottom>
      <diagonal/>
    </border>
    <border>
      <left style="hair">
        <color rgb="FF002060"/>
      </left>
      <right/>
      <top style="hair">
        <color rgb="FF002060"/>
      </top>
      <bottom style="thin">
        <color indexed="64"/>
      </bottom>
      <diagonal/>
    </border>
    <border>
      <left/>
      <right/>
      <top style="hair">
        <color rgb="FF002060"/>
      </top>
      <bottom style="thin">
        <color indexed="64"/>
      </bottom>
      <diagonal/>
    </border>
    <border>
      <left/>
      <right style="thin">
        <color indexed="64"/>
      </right>
      <top style="hair">
        <color rgb="FF002060"/>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10"/>
      </left>
      <right style="hair">
        <color indexed="64"/>
      </right>
      <top style="medium">
        <color indexed="10"/>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medium">
        <color indexed="10"/>
      </right>
      <top style="medium">
        <color indexed="10"/>
      </top>
      <bottom style="thin">
        <color indexed="64"/>
      </bottom>
      <diagonal/>
    </border>
    <border>
      <left style="thin">
        <color indexed="64"/>
      </left>
      <right style="hair">
        <color indexed="64"/>
      </right>
      <top style="thin">
        <color indexed="64"/>
      </top>
      <bottom/>
      <diagonal/>
    </border>
    <border>
      <left style="medium">
        <color indexed="10"/>
      </left>
      <right style="hair">
        <color indexed="64"/>
      </right>
      <top style="thin">
        <color indexed="64"/>
      </top>
      <bottom style="hair">
        <color indexed="64"/>
      </bottom>
      <diagonal/>
    </border>
    <border>
      <left style="hair">
        <color indexed="64"/>
      </left>
      <right style="medium">
        <color indexed="10"/>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medium">
        <color indexed="10"/>
      </left>
      <right style="hair">
        <color indexed="64"/>
      </right>
      <top style="hair">
        <color indexed="64"/>
      </top>
      <bottom style="medium">
        <color indexed="10"/>
      </bottom>
      <diagonal/>
    </border>
    <border>
      <left style="hair">
        <color indexed="64"/>
      </left>
      <right style="hair">
        <color indexed="64"/>
      </right>
      <top style="hair">
        <color indexed="64"/>
      </top>
      <bottom style="medium">
        <color indexed="10"/>
      </bottom>
      <diagonal/>
    </border>
    <border>
      <left style="hair">
        <color indexed="64"/>
      </left>
      <right style="medium">
        <color indexed="10"/>
      </right>
      <top style="hair">
        <color indexed="64"/>
      </top>
      <bottom style="medium">
        <color indexed="10"/>
      </bottom>
      <diagonal/>
    </border>
    <border>
      <left style="hair">
        <color indexed="64"/>
      </left>
      <right style="hair">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right/>
      <top style="dotted">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371">
    <xf numFmtId="0" fontId="0" fillId="0" borderId="0" xfId="0">
      <alignment vertical="center"/>
    </xf>
    <xf numFmtId="0" fontId="0" fillId="0" borderId="0" xfId="0" applyBorder="1">
      <alignment vertical="center"/>
    </xf>
    <xf numFmtId="0" fontId="3" fillId="0" borderId="0" xfId="0" applyFont="1">
      <alignment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1" xfId="0" applyFont="1" applyBorder="1">
      <alignment vertical="center"/>
    </xf>
    <xf numFmtId="0" fontId="3" fillId="0" borderId="1" xfId="0" applyFont="1" applyBorder="1" applyAlignment="1">
      <alignment horizontal="center" vertical="center" wrapText="1"/>
    </xf>
    <xf numFmtId="176" fontId="5" fillId="0" borderId="1" xfId="0" applyNumberFormat="1" applyFont="1" applyFill="1" applyBorder="1" applyAlignment="1">
      <alignment horizontal="center" vertical="center"/>
    </xf>
    <xf numFmtId="0" fontId="12" fillId="0" borderId="0" xfId="0" applyFont="1">
      <alignment vertical="center"/>
    </xf>
    <xf numFmtId="0" fontId="11" fillId="0" borderId="0" xfId="0" applyFont="1">
      <alignment vertical="center"/>
    </xf>
    <xf numFmtId="0" fontId="13" fillId="0" borderId="7" xfId="0" applyFont="1" applyBorder="1">
      <alignment vertical="center"/>
    </xf>
    <xf numFmtId="0" fontId="13" fillId="0" borderId="3" xfId="0" applyFont="1" applyBorder="1">
      <alignment vertical="center"/>
    </xf>
    <xf numFmtId="0" fontId="13" fillId="0" borderId="8" xfId="0" applyFont="1" applyBorder="1">
      <alignment vertical="center"/>
    </xf>
    <xf numFmtId="0" fontId="13" fillId="0" borderId="0" xfId="0" applyFont="1" applyAlignment="1">
      <alignment horizontal="right" vertical="center"/>
    </xf>
    <xf numFmtId="38" fontId="12" fillId="0" borderId="0" xfId="1" applyFont="1" applyFill="1" applyBorder="1" applyAlignment="1">
      <alignment horizontal="right" vertical="center"/>
    </xf>
    <xf numFmtId="0" fontId="13" fillId="0" borderId="0" xfId="0" applyFont="1">
      <alignment vertical="center"/>
    </xf>
    <xf numFmtId="0" fontId="13" fillId="0" borderId="2" xfId="0" applyFont="1" applyBorder="1">
      <alignment vertical="center"/>
    </xf>
    <xf numFmtId="0" fontId="13" fillId="0" borderId="0" xfId="0" applyFont="1" applyAlignment="1">
      <alignment horizontal="center" vertical="center"/>
    </xf>
    <xf numFmtId="0" fontId="13" fillId="0" borderId="12" xfId="0" applyFont="1" applyBorder="1">
      <alignment vertical="center"/>
    </xf>
    <xf numFmtId="0" fontId="15" fillId="0" borderId="0" xfId="0" applyFont="1" applyAlignment="1">
      <alignment horizontal="center" vertical="center"/>
    </xf>
    <xf numFmtId="38" fontId="13" fillId="0" borderId="0" xfId="1" applyFont="1" applyBorder="1" applyAlignment="1">
      <alignment horizontal="right" vertical="center" shrinkToFit="1"/>
    </xf>
    <xf numFmtId="38" fontId="13" fillId="0" borderId="0" xfId="1" applyFont="1" applyFill="1" applyBorder="1" applyAlignment="1">
      <alignment horizontal="center" vertical="center"/>
    </xf>
    <xf numFmtId="0" fontId="13" fillId="0" borderId="16" xfId="0" applyFont="1" applyBorder="1" applyAlignment="1">
      <alignment horizontal="center" vertical="center"/>
    </xf>
    <xf numFmtId="10" fontId="16" fillId="2" borderId="13" xfId="0" quotePrefix="1" applyNumberFormat="1" applyFont="1" applyFill="1" applyBorder="1" applyAlignment="1">
      <alignment horizontal="center" vertical="center"/>
    </xf>
    <xf numFmtId="0" fontId="13" fillId="0" borderId="17" xfId="0" applyFont="1" applyBorder="1" applyAlignment="1">
      <alignment horizontal="center" vertical="center"/>
    </xf>
    <xf numFmtId="10" fontId="13" fillId="0" borderId="0" xfId="0" quotePrefix="1" applyNumberFormat="1" applyFont="1" applyAlignment="1">
      <alignment horizontal="center" vertical="center"/>
    </xf>
    <xf numFmtId="0" fontId="13" fillId="0" borderId="14" xfId="0" applyFont="1" applyBorder="1" applyAlignment="1">
      <alignment horizontal="center" vertical="center"/>
    </xf>
    <xf numFmtId="179" fontId="16" fillId="2" borderId="13" xfId="1" applyNumberFormat="1" applyFont="1" applyFill="1" applyBorder="1" applyAlignment="1">
      <alignment horizontal="center" vertical="center"/>
    </xf>
    <xf numFmtId="0" fontId="13" fillId="0" borderId="17" xfId="0" applyFont="1" applyBorder="1">
      <alignment vertical="center"/>
    </xf>
    <xf numFmtId="180" fontId="15" fillId="3" borderId="18" xfId="0" applyNumberFormat="1" applyFont="1" applyFill="1" applyBorder="1" applyAlignment="1">
      <alignment horizontal="center" vertical="center"/>
    </xf>
    <xf numFmtId="0" fontId="13" fillId="0" borderId="15" xfId="0" applyFont="1" applyBorder="1">
      <alignment vertical="center"/>
    </xf>
    <xf numFmtId="0" fontId="13" fillId="0" borderId="16" xfId="0" applyFont="1" applyBorder="1">
      <alignment vertical="center"/>
    </xf>
    <xf numFmtId="0" fontId="17" fillId="0" borderId="0" xfId="0" applyFont="1">
      <alignment vertical="center"/>
    </xf>
    <xf numFmtId="0" fontId="15" fillId="0" borderId="0" xfId="0" applyFont="1">
      <alignment vertical="center"/>
    </xf>
    <xf numFmtId="0" fontId="15" fillId="0" borderId="12" xfId="0" applyFont="1" applyBorder="1">
      <alignment vertical="center"/>
    </xf>
    <xf numFmtId="38" fontId="18" fillId="0" borderId="0" xfId="1" applyFont="1" applyBorder="1" applyAlignment="1">
      <alignment vertical="center"/>
    </xf>
    <xf numFmtId="10" fontId="16" fillId="0" borderId="0" xfId="0" quotePrefix="1" applyNumberFormat="1" applyFont="1" applyAlignment="1">
      <alignment horizontal="center" vertical="center"/>
    </xf>
    <xf numFmtId="0" fontId="13" fillId="0" borderId="19" xfId="0" applyFont="1" applyBorder="1" applyAlignment="1">
      <alignment horizontal="center" vertical="center"/>
    </xf>
    <xf numFmtId="38" fontId="17" fillId="0" borderId="0" xfId="0" applyNumberFormat="1" applyFont="1">
      <alignment vertical="center"/>
    </xf>
    <xf numFmtId="0" fontId="18" fillId="4" borderId="19" xfId="0" applyFont="1" applyFill="1" applyBorder="1" applyAlignment="1">
      <alignment horizontal="right" vertical="center"/>
    </xf>
    <xf numFmtId="179" fontId="16" fillId="0" borderId="0" xfId="0" applyNumberFormat="1" applyFont="1" applyAlignment="1">
      <alignment horizontal="center" vertical="center"/>
    </xf>
    <xf numFmtId="38" fontId="17" fillId="0" borderId="0" xfId="1" applyFont="1" applyAlignment="1">
      <alignment vertical="center"/>
    </xf>
    <xf numFmtId="0" fontId="13" fillId="0" borderId="20" xfId="0" applyFont="1" applyBorder="1">
      <alignment vertical="center"/>
    </xf>
    <xf numFmtId="0" fontId="13" fillId="0" borderId="20" xfId="0" applyFont="1" applyBorder="1" applyAlignment="1">
      <alignment horizontal="center" vertical="center"/>
    </xf>
    <xf numFmtId="0" fontId="19" fillId="0" borderId="0" xfId="0" applyFont="1" applyAlignment="1">
      <alignment horizontal="right" vertical="center"/>
    </xf>
    <xf numFmtId="38" fontId="20" fillId="0" borderId="20" xfId="0" applyNumberFormat="1" applyFont="1" applyBorder="1">
      <alignment vertical="center"/>
    </xf>
    <xf numFmtId="0" fontId="13" fillId="0" borderId="9" xfId="0" applyFont="1" applyBorder="1">
      <alignment vertical="center"/>
    </xf>
    <xf numFmtId="0" fontId="13" fillId="0" borderId="10" xfId="0" applyFont="1" applyBorder="1">
      <alignment vertical="center"/>
    </xf>
    <xf numFmtId="0" fontId="15" fillId="0" borderId="10" xfId="0" applyFont="1" applyBorder="1">
      <alignment vertical="center"/>
    </xf>
    <xf numFmtId="0" fontId="13" fillId="0" borderId="11" xfId="0" applyFont="1" applyBorder="1">
      <alignment vertical="center"/>
    </xf>
    <xf numFmtId="0" fontId="15" fillId="0" borderId="0" xfId="0" applyFont="1" applyAlignment="1">
      <alignment horizontal="right" vertical="center"/>
    </xf>
    <xf numFmtId="3" fontId="15" fillId="0" borderId="0" xfId="0" applyNumberFormat="1" applyFont="1">
      <alignment vertical="center"/>
    </xf>
    <xf numFmtId="0" fontId="18" fillId="0" borderId="0" xfId="0" applyFont="1">
      <alignment vertical="center"/>
    </xf>
    <xf numFmtId="0" fontId="16" fillId="0" borderId="0" xfId="0" applyFont="1" applyAlignment="1">
      <alignment horizontal="center" vertical="center"/>
    </xf>
    <xf numFmtId="0" fontId="18" fillId="0" borderId="19" xfId="0" applyFont="1" applyBorder="1" applyAlignment="1">
      <alignment horizontal="right" vertical="center"/>
    </xf>
    <xf numFmtId="0" fontId="13" fillId="0" borderId="5" xfId="0" applyFont="1" applyBorder="1">
      <alignment vertical="center"/>
    </xf>
    <xf numFmtId="0" fontId="13" fillId="0" borderId="5" xfId="0" applyFont="1" applyBorder="1" applyAlignment="1">
      <alignment horizontal="right" vertical="center"/>
    </xf>
    <xf numFmtId="38" fontId="18" fillId="4" borderId="19" xfId="1" applyFont="1" applyFill="1" applyBorder="1" applyAlignment="1">
      <alignment horizontal="right" vertical="center"/>
    </xf>
    <xf numFmtId="0" fontId="21" fillId="0" borderId="0" xfId="0" applyFont="1">
      <alignment vertical="center"/>
    </xf>
    <xf numFmtId="38" fontId="21" fillId="0" borderId="3" xfId="1" applyFont="1" applyBorder="1" applyAlignment="1">
      <alignment vertical="center"/>
    </xf>
    <xf numFmtId="0" fontId="21" fillId="0" borderId="0" xfId="0" applyFont="1" applyAlignment="1">
      <alignment horizontal="right" vertical="center"/>
    </xf>
    <xf numFmtId="0" fontId="22" fillId="0" borderId="0" xfId="0" applyFont="1">
      <alignment vertical="center"/>
    </xf>
    <xf numFmtId="0" fontId="13" fillId="2" borderId="1" xfId="0" applyFont="1" applyFill="1" applyBorder="1" applyAlignment="1">
      <alignment horizontal="center" vertical="center"/>
    </xf>
    <xf numFmtId="38" fontId="18" fillId="0" borderId="20" xfId="1" applyFont="1" applyBorder="1" applyAlignment="1">
      <alignment vertical="center"/>
    </xf>
    <xf numFmtId="0" fontId="13" fillId="0" borderId="0" xfId="0" applyFont="1" applyBorder="1">
      <alignment vertical="center"/>
    </xf>
    <xf numFmtId="0" fontId="3" fillId="0" borderId="6" xfId="0" applyFont="1" applyBorder="1" applyAlignment="1">
      <alignment horizontal="center" vertical="center"/>
    </xf>
    <xf numFmtId="0" fontId="3" fillId="0" borderId="6" xfId="0" applyFont="1" applyBorder="1">
      <alignment vertical="center"/>
    </xf>
    <xf numFmtId="0" fontId="5" fillId="0" borderId="6" xfId="0" applyFont="1" applyFill="1" applyBorder="1" applyAlignment="1">
      <alignment horizontal="center" vertical="center"/>
    </xf>
    <xf numFmtId="0" fontId="3" fillId="0" borderId="0" xfId="0" applyFont="1" applyBorder="1">
      <alignment vertical="center"/>
    </xf>
    <xf numFmtId="183" fontId="3" fillId="0" borderId="0" xfId="0" applyNumberFormat="1" applyFont="1" applyAlignment="1">
      <alignment horizontal="center" vertical="center"/>
    </xf>
    <xf numFmtId="183" fontId="3" fillId="0" borderId="0" xfId="0" applyNumberFormat="1" applyFont="1">
      <alignment vertical="center"/>
    </xf>
    <xf numFmtId="0" fontId="8" fillId="0" borderId="0" xfId="0" applyNumberFormat="1" applyFont="1">
      <alignment vertical="center"/>
    </xf>
    <xf numFmtId="177" fontId="6" fillId="8" borderId="6" xfId="0" applyNumberFormat="1" applyFont="1" applyFill="1" applyBorder="1" applyAlignment="1">
      <alignment vertical="center"/>
    </xf>
    <xf numFmtId="38" fontId="6" fillId="7" borderId="6" xfId="1" applyFont="1" applyFill="1" applyBorder="1" applyAlignment="1">
      <alignment horizontal="left" vertical="center"/>
    </xf>
    <xf numFmtId="177" fontId="6" fillId="8" borderId="4" xfId="0" applyNumberFormat="1" applyFont="1" applyFill="1" applyBorder="1" applyAlignment="1">
      <alignment vertical="center"/>
    </xf>
    <xf numFmtId="177" fontId="6" fillId="8" borderId="5" xfId="0" applyNumberFormat="1" applyFont="1" applyFill="1" applyBorder="1" applyAlignment="1">
      <alignment vertical="center"/>
    </xf>
    <xf numFmtId="177" fontId="6" fillId="8" borderId="5" xfId="0" applyNumberFormat="1" applyFont="1" applyFill="1" applyBorder="1" applyAlignment="1">
      <alignment horizontal="center" vertical="center"/>
    </xf>
    <xf numFmtId="0" fontId="5" fillId="0" borderId="0" xfId="2">
      <alignment vertical="center"/>
    </xf>
    <xf numFmtId="0" fontId="27" fillId="0" borderId="0" xfId="2" applyFont="1">
      <alignment vertical="center"/>
    </xf>
    <xf numFmtId="0" fontId="5" fillId="0" borderId="0" xfId="2" applyAlignment="1">
      <alignment horizontal="right" vertical="center"/>
    </xf>
    <xf numFmtId="0" fontId="29" fillId="0" borderId="0" xfId="2" applyFont="1">
      <alignment vertical="center"/>
    </xf>
    <xf numFmtId="0" fontId="27" fillId="0" borderId="0" xfId="2" applyFont="1" applyAlignment="1">
      <alignment horizontal="right" vertical="center"/>
    </xf>
    <xf numFmtId="0" fontId="8" fillId="0" borderId="0" xfId="2" applyFont="1">
      <alignment vertical="center"/>
    </xf>
    <xf numFmtId="0" fontId="29" fillId="0" borderId="0" xfId="2" applyFont="1" applyAlignment="1">
      <alignment vertical="center" wrapText="1"/>
    </xf>
    <xf numFmtId="0" fontId="34" fillId="0" borderId="9" xfId="2" applyFont="1" applyBorder="1">
      <alignment vertical="center"/>
    </xf>
    <xf numFmtId="0" fontId="34" fillId="0" borderId="10" xfId="2" applyFont="1" applyBorder="1">
      <alignment vertical="center"/>
    </xf>
    <xf numFmtId="0" fontId="10" fillId="0" borderId="1" xfId="2" applyFont="1" applyBorder="1" applyAlignment="1">
      <alignment horizontal="center" vertical="center"/>
    </xf>
    <xf numFmtId="0" fontId="5" fillId="0" borderId="1" xfId="2" applyBorder="1">
      <alignment vertical="center"/>
    </xf>
    <xf numFmtId="0" fontId="5" fillId="0" borderId="0" xfId="2" applyAlignment="1">
      <alignment horizontal="center" vertical="center" wrapText="1"/>
    </xf>
    <xf numFmtId="0" fontId="5" fillId="0" borderId="12" xfId="2" applyBorder="1">
      <alignment vertical="center"/>
    </xf>
    <xf numFmtId="0" fontId="5" fillId="0" borderId="3" xfId="2" applyBorder="1" applyAlignment="1">
      <alignment horizontal="center" vertical="center" wrapText="1"/>
    </xf>
    <xf numFmtId="0" fontId="5" fillId="0" borderId="72" xfId="2" applyBorder="1" applyAlignment="1">
      <alignment horizontal="center" vertical="center"/>
    </xf>
    <xf numFmtId="0" fontId="5" fillId="0" borderId="74" xfId="2" applyBorder="1" applyAlignment="1">
      <alignment horizontal="center" vertical="center"/>
    </xf>
    <xf numFmtId="0" fontId="5" fillId="0" borderId="77" xfId="2" applyBorder="1" applyAlignment="1">
      <alignment horizontal="center" vertical="center"/>
    </xf>
    <xf numFmtId="184" fontId="27" fillId="9" borderId="69" xfId="2" applyNumberFormat="1" applyFont="1" applyFill="1" applyBorder="1" applyAlignment="1" applyProtection="1">
      <alignment horizontal="center" vertical="center"/>
      <protection locked="0"/>
    </xf>
    <xf numFmtId="183" fontId="5" fillId="0" borderId="0" xfId="2" applyNumberFormat="1">
      <alignment vertical="center"/>
    </xf>
    <xf numFmtId="0" fontId="27" fillId="0" borderId="0" xfId="2" applyFont="1" applyAlignment="1">
      <alignment vertical="center" wrapText="1"/>
    </xf>
    <xf numFmtId="0" fontId="5" fillId="0" borderId="0" xfId="2" applyAlignment="1">
      <alignment horizontal="center" vertical="center"/>
    </xf>
    <xf numFmtId="0" fontId="36" fillId="0" borderId="0" xfId="0" applyFont="1" applyFill="1" applyAlignment="1">
      <alignment horizontal="center" vertical="center" wrapText="1"/>
    </xf>
    <xf numFmtId="0" fontId="3" fillId="0" borderId="0" xfId="0" applyFont="1" applyFill="1">
      <alignmen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0" borderId="2" xfId="0" applyFont="1" applyFill="1" applyBorder="1">
      <alignment vertical="center"/>
    </xf>
    <xf numFmtId="0" fontId="13" fillId="0" borderId="0" xfId="0" applyFont="1" applyFill="1">
      <alignment vertical="center"/>
    </xf>
    <xf numFmtId="0" fontId="13" fillId="0" borderId="0" xfId="0" applyFont="1" applyFill="1" applyAlignment="1">
      <alignment horizontal="center" vertical="center"/>
    </xf>
    <xf numFmtId="0" fontId="13" fillId="0" borderId="0" xfId="0" applyFont="1" applyFill="1" applyAlignment="1">
      <alignment horizontal="right" vertical="center"/>
    </xf>
    <xf numFmtId="0" fontId="18" fillId="0" borderId="0" xfId="0" applyFont="1" applyFill="1" applyBorder="1" applyAlignment="1">
      <alignment horizontal="right" vertical="center"/>
    </xf>
    <xf numFmtId="179" fontId="16" fillId="0" borderId="0" xfId="0" applyNumberFormat="1" applyFont="1" applyFill="1" applyAlignment="1">
      <alignment horizontal="center" vertical="center"/>
    </xf>
    <xf numFmtId="0" fontId="13" fillId="0" borderId="12" xfId="0" applyFont="1" applyFill="1" applyBorder="1">
      <alignment vertical="center"/>
    </xf>
    <xf numFmtId="38" fontId="17" fillId="0" borderId="0" xfId="1" applyFont="1" applyFill="1" applyAlignment="1">
      <alignment vertical="center"/>
    </xf>
    <xf numFmtId="0" fontId="0" fillId="0" borderId="0" xfId="0" applyFill="1">
      <alignment vertical="center"/>
    </xf>
    <xf numFmtId="38" fontId="18" fillId="0" borderId="0" xfId="1" applyFont="1" applyFill="1" applyBorder="1" applyAlignment="1">
      <alignment horizontal="right" vertical="center"/>
    </xf>
    <xf numFmtId="38" fontId="18" fillId="0" borderId="124" xfId="1" applyFont="1" applyFill="1" applyBorder="1" applyAlignment="1">
      <alignment horizontal="right" vertical="center"/>
    </xf>
    <xf numFmtId="0" fontId="13" fillId="0" borderId="124" xfId="0" applyFont="1" applyFill="1" applyBorder="1" applyAlignment="1">
      <alignment horizontal="center" vertical="center"/>
    </xf>
    <xf numFmtId="0" fontId="18" fillId="0" borderId="0" xfId="0" applyFont="1" applyBorder="1" applyAlignment="1">
      <alignment horizontal="right" vertical="center"/>
    </xf>
    <xf numFmtId="183" fontId="13" fillId="0" borderId="0" xfId="0" applyNumberFormat="1" applyFont="1">
      <alignment vertical="center"/>
    </xf>
    <xf numFmtId="185" fontId="13" fillId="0" borderId="0" xfId="0" applyNumberFormat="1" applyFont="1">
      <alignment vertical="center"/>
    </xf>
    <xf numFmtId="0" fontId="29" fillId="0" borderId="35" xfId="2" applyFont="1" applyBorder="1" applyAlignment="1">
      <alignment vertical="center" wrapText="1"/>
    </xf>
    <xf numFmtId="0" fontId="29" fillId="0" borderId="74" xfId="2" applyFont="1" applyBorder="1">
      <alignment vertical="center"/>
    </xf>
    <xf numFmtId="0" fontId="29" fillId="0" borderId="75" xfId="2" applyFont="1" applyBorder="1">
      <alignment vertical="center"/>
    </xf>
    <xf numFmtId="0" fontId="26" fillId="7" borderId="0" xfId="2" applyFont="1" applyFill="1" applyAlignment="1">
      <alignment horizontal="center" vertical="center"/>
    </xf>
    <xf numFmtId="0" fontId="27" fillId="0" borderId="0" xfId="2" applyFont="1" applyAlignment="1">
      <alignment horizontal="left" vertical="center" wrapText="1"/>
    </xf>
    <xf numFmtId="0" fontId="5" fillId="0" borderId="70" xfId="2" applyBorder="1" applyAlignment="1">
      <alignment horizontal="center" vertical="center"/>
    </xf>
    <xf numFmtId="0" fontId="5" fillId="0" borderId="3" xfId="2" applyBorder="1" applyAlignment="1">
      <alignment horizontal="center" vertical="center"/>
    </xf>
    <xf numFmtId="0" fontId="5" fillId="0" borderId="8" xfId="2" applyBorder="1" applyAlignment="1">
      <alignment horizontal="center" vertical="center"/>
    </xf>
    <xf numFmtId="0" fontId="29" fillId="0" borderId="71" xfId="2" applyFont="1" applyBorder="1">
      <alignment vertical="center"/>
    </xf>
    <xf numFmtId="0" fontId="29" fillId="0" borderId="72" xfId="2" applyFont="1" applyBorder="1">
      <alignment vertical="center"/>
    </xf>
    <xf numFmtId="0" fontId="29" fillId="0" borderId="73" xfId="2" applyFont="1" applyBorder="1">
      <alignment vertical="center"/>
    </xf>
    <xf numFmtId="0" fontId="29" fillId="0" borderId="76" xfId="2" applyFont="1" applyBorder="1" applyAlignment="1">
      <alignment vertical="center" wrapText="1"/>
    </xf>
    <xf numFmtId="0" fontId="29" fillId="0" borderId="77" xfId="2" applyFont="1" applyBorder="1">
      <alignment vertical="center"/>
    </xf>
    <xf numFmtId="0" fontId="29" fillId="0" borderId="78" xfId="2" applyFont="1" applyBorder="1">
      <alignment vertical="center"/>
    </xf>
    <xf numFmtId="0" fontId="5" fillId="0" borderId="0" xfId="2" applyAlignment="1">
      <alignment vertical="center" wrapText="1"/>
    </xf>
    <xf numFmtId="0" fontId="27" fillId="0" borderId="0" xfId="2" applyFont="1" applyAlignment="1">
      <alignment vertical="center" wrapText="1"/>
    </xf>
    <xf numFmtId="0" fontId="5" fillId="0" borderId="23" xfId="2" applyBorder="1" applyAlignment="1">
      <alignment horizontal="center" vertical="center"/>
    </xf>
    <xf numFmtId="0" fontId="5" fillId="0" borderId="24" xfId="2" applyBorder="1" applyAlignment="1">
      <alignment horizontal="center" vertical="center"/>
    </xf>
    <xf numFmtId="0" fontId="5" fillId="0" borderId="25" xfId="2" applyBorder="1" applyAlignment="1">
      <alignment horizontal="center" vertical="center"/>
    </xf>
    <xf numFmtId="0" fontId="5" fillId="0" borderId="26" xfId="2" applyBorder="1" applyAlignment="1">
      <alignment horizontal="center" vertical="center"/>
    </xf>
    <xf numFmtId="0" fontId="5" fillId="0" borderId="27" xfId="2" applyBorder="1" applyAlignment="1">
      <alignment horizontal="center" vertical="center"/>
    </xf>
    <xf numFmtId="0" fontId="5" fillId="0" borderId="28" xfId="2" applyBorder="1" applyAlignment="1">
      <alignment horizontal="center" vertical="center"/>
    </xf>
    <xf numFmtId="0" fontId="5" fillId="0" borderId="29" xfId="2" applyBorder="1" applyAlignment="1">
      <alignment horizontal="center" vertical="center"/>
    </xf>
    <xf numFmtId="0" fontId="5" fillId="0" borderId="30" xfId="2" applyBorder="1" applyAlignment="1">
      <alignment horizontal="center" vertical="center"/>
    </xf>
    <xf numFmtId="0" fontId="5" fillId="0" borderId="31" xfId="2" applyBorder="1" applyAlignment="1">
      <alignment horizontal="center" vertical="center"/>
    </xf>
    <xf numFmtId="38" fontId="5" fillId="0" borderId="29" xfId="3" applyFont="1" applyBorder="1" applyAlignment="1" applyProtection="1">
      <alignment horizontal="center" vertical="center"/>
    </xf>
    <xf numFmtId="38" fontId="5" fillId="0" borderId="32" xfId="3" applyFont="1" applyBorder="1" applyAlignment="1" applyProtection="1">
      <alignment horizontal="center" vertical="center"/>
    </xf>
    <xf numFmtId="0" fontId="5" fillId="0" borderId="33" xfId="2" applyBorder="1" applyAlignment="1">
      <alignment horizontal="center" vertical="center"/>
    </xf>
    <xf numFmtId="0" fontId="5" fillId="0" borderId="34" xfId="2" applyBorder="1" applyAlignment="1">
      <alignment horizontal="center" vertical="center"/>
    </xf>
    <xf numFmtId="0" fontId="5" fillId="0" borderId="35" xfId="2" applyBorder="1" applyAlignment="1">
      <alignment horizontal="center" vertical="center"/>
    </xf>
    <xf numFmtId="0" fontId="5" fillId="0" borderId="36" xfId="2" applyBorder="1" applyAlignment="1">
      <alignment horizontal="center" vertical="center"/>
    </xf>
    <xf numFmtId="38" fontId="5" fillId="0" borderId="34" xfId="3" applyFont="1" applyBorder="1" applyAlignment="1" applyProtection="1">
      <alignment horizontal="center" vertical="center"/>
    </xf>
    <xf numFmtId="38" fontId="5" fillId="0" borderId="37" xfId="3" applyFont="1" applyBorder="1" applyAlignment="1" applyProtection="1">
      <alignment horizontal="center" vertical="center"/>
    </xf>
    <xf numFmtId="38" fontId="5" fillId="0" borderId="35" xfId="3" applyFont="1" applyBorder="1" applyAlignment="1" applyProtection="1">
      <alignment horizontal="center" vertical="center"/>
    </xf>
    <xf numFmtId="0" fontId="5" fillId="0" borderId="38" xfId="2" applyBorder="1" applyAlignment="1">
      <alignment horizontal="center" vertical="center"/>
    </xf>
    <xf numFmtId="0" fontId="5" fillId="0" borderId="39" xfId="2" applyBorder="1" applyAlignment="1">
      <alignment horizontal="center" vertical="center"/>
    </xf>
    <xf numFmtId="38" fontId="5" fillId="0" borderId="39" xfId="3" applyFont="1" applyBorder="1" applyAlignment="1" applyProtection="1">
      <alignment horizontal="center" vertical="center"/>
    </xf>
    <xf numFmtId="38" fontId="5" fillId="0" borderId="40" xfId="3" applyFont="1" applyBorder="1" applyAlignment="1" applyProtection="1">
      <alignment horizontal="center" vertical="center"/>
    </xf>
    <xf numFmtId="0" fontId="5" fillId="0" borderId="41" xfId="2" applyBorder="1" applyAlignment="1">
      <alignment horizontal="center" vertical="center"/>
    </xf>
    <xf numFmtId="0" fontId="5" fillId="0" borderId="42" xfId="2" applyBorder="1" applyAlignment="1">
      <alignment horizontal="center" vertical="center"/>
    </xf>
    <xf numFmtId="0" fontId="5" fillId="0" borderId="43" xfId="2" applyBorder="1" applyAlignment="1">
      <alignment horizontal="center" vertical="center"/>
    </xf>
    <xf numFmtId="38" fontId="5" fillId="0" borderId="44" xfId="3" applyFont="1" applyBorder="1" applyAlignment="1" applyProtection="1">
      <alignment horizontal="center" vertical="center"/>
    </xf>
    <xf numFmtId="38" fontId="5" fillId="0" borderId="42" xfId="3" applyFont="1" applyBorder="1" applyAlignment="1" applyProtection="1">
      <alignment horizontal="center" vertical="center"/>
    </xf>
    <xf numFmtId="38" fontId="5" fillId="0" borderId="45" xfId="3" applyFont="1" applyBorder="1" applyAlignment="1" applyProtection="1">
      <alignment horizontal="center" vertical="center"/>
    </xf>
    <xf numFmtId="0" fontId="5" fillId="0" borderId="0" xfId="2" applyAlignment="1">
      <alignment horizontal="center" vertical="center"/>
    </xf>
    <xf numFmtId="179" fontId="30" fillId="9" borderId="46" xfId="3" applyNumberFormat="1" applyFont="1" applyFill="1" applyBorder="1" applyAlignment="1" applyProtection="1">
      <alignment horizontal="center" vertical="center"/>
      <protection locked="0"/>
    </xf>
    <xf numFmtId="179" fontId="30" fillId="9" borderId="47" xfId="3" applyNumberFormat="1" applyFont="1" applyFill="1" applyBorder="1" applyAlignment="1" applyProtection="1">
      <alignment horizontal="center" vertical="center"/>
      <protection locked="0"/>
    </xf>
    <xf numFmtId="179" fontId="30" fillId="9" borderId="48" xfId="3" applyNumberFormat="1" applyFont="1" applyFill="1" applyBorder="1" applyAlignment="1" applyProtection="1">
      <alignment horizontal="center" vertical="center"/>
      <protection locked="0"/>
    </xf>
    <xf numFmtId="179" fontId="30" fillId="9" borderId="49" xfId="3" applyNumberFormat="1" applyFont="1" applyFill="1" applyBorder="1" applyAlignment="1" applyProtection="1">
      <alignment horizontal="center" vertical="center"/>
      <protection locked="0"/>
    </xf>
    <xf numFmtId="179" fontId="30" fillId="9" borderId="0" xfId="3" applyNumberFormat="1" applyFont="1" applyFill="1" applyBorder="1" applyAlignment="1" applyProtection="1">
      <alignment horizontal="center" vertical="center"/>
      <protection locked="0"/>
    </xf>
    <xf numFmtId="179" fontId="30" fillId="9" borderId="50" xfId="3" applyNumberFormat="1" applyFont="1" applyFill="1" applyBorder="1" applyAlignment="1" applyProtection="1">
      <alignment horizontal="center" vertical="center"/>
      <protection locked="0"/>
    </xf>
    <xf numFmtId="179" fontId="30" fillId="9" borderId="51" xfId="3" applyNumberFormat="1" applyFont="1" applyFill="1" applyBorder="1" applyAlignment="1" applyProtection="1">
      <alignment horizontal="center" vertical="center"/>
      <protection locked="0"/>
    </xf>
    <xf numFmtId="179" fontId="30" fillId="9" borderId="52" xfId="3" applyNumberFormat="1" applyFont="1" applyFill="1" applyBorder="1" applyAlignment="1" applyProtection="1">
      <alignment horizontal="center" vertical="center"/>
      <protection locked="0"/>
    </xf>
    <xf numFmtId="179" fontId="30" fillId="9" borderId="53" xfId="3" applyNumberFormat="1" applyFont="1" applyFill="1" applyBorder="1" applyAlignment="1" applyProtection="1">
      <alignment horizontal="center" vertical="center"/>
      <protection locked="0"/>
    </xf>
    <xf numFmtId="0" fontId="31" fillId="0" borderId="49" xfId="2" applyFont="1" applyBorder="1" applyAlignment="1">
      <alignment horizontal="right" vertical="center"/>
    </xf>
    <xf numFmtId="0" fontId="31" fillId="0" borderId="0" xfId="2" applyFont="1" applyAlignment="1">
      <alignment horizontal="right" vertical="center"/>
    </xf>
    <xf numFmtId="179" fontId="30" fillId="3" borderId="46" xfId="3" applyNumberFormat="1" applyFont="1" applyFill="1" applyBorder="1" applyAlignment="1" applyProtection="1">
      <alignment horizontal="center" vertical="center"/>
    </xf>
    <xf numFmtId="179" fontId="30" fillId="3" borderId="47" xfId="3" applyNumberFormat="1" applyFont="1" applyFill="1" applyBorder="1" applyAlignment="1" applyProtection="1">
      <alignment horizontal="center" vertical="center"/>
    </xf>
    <xf numFmtId="179" fontId="30" fillId="3" borderId="48" xfId="3" applyNumberFormat="1" applyFont="1" applyFill="1" applyBorder="1" applyAlignment="1" applyProtection="1">
      <alignment horizontal="center" vertical="center"/>
    </xf>
    <xf numFmtId="179" fontId="30" fillId="3" borderId="49" xfId="3" applyNumberFormat="1" applyFont="1" applyFill="1" applyBorder="1" applyAlignment="1" applyProtection="1">
      <alignment horizontal="center" vertical="center"/>
    </xf>
    <xf numFmtId="179" fontId="30" fillId="3" borderId="0" xfId="3" applyNumberFormat="1" applyFont="1" applyFill="1" applyBorder="1" applyAlignment="1" applyProtection="1">
      <alignment horizontal="center" vertical="center"/>
    </xf>
    <xf numFmtId="179" fontId="30" fillId="3" borderId="50" xfId="3" applyNumberFormat="1" applyFont="1" applyFill="1" applyBorder="1" applyAlignment="1" applyProtection="1">
      <alignment horizontal="center" vertical="center"/>
    </xf>
    <xf numFmtId="179" fontId="30" fillId="3" borderId="51" xfId="3" applyNumberFormat="1" applyFont="1" applyFill="1" applyBorder="1" applyAlignment="1" applyProtection="1">
      <alignment horizontal="center" vertical="center"/>
    </xf>
    <xf numFmtId="179" fontId="30" fillId="3" borderId="52" xfId="3" applyNumberFormat="1" applyFont="1" applyFill="1" applyBorder="1" applyAlignment="1" applyProtection="1">
      <alignment horizontal="center" vertical="center"/>
    </xf>
    <xf numFmtId="179" fontId="30" fillId="3" borderId="53" xfId="3" applyNumberFormat="1" applyFont="1" applyFill="1" applyBorder="1" applyAlignment="1" applyProtection="1">
      <alignment horizontal="center" vertical="center"/>
    </xf>
    <xf numFmtId="0" fontId="5" fillId="0" borderId="59" xfId="2" applyBorder="1" applyAlignment="1">
      <alignment horizontal="center" vertical="center"/>
    </xf>
    <xf numFmtId="0" fontId="5" fillId="0" borderId="60" xfId="2" applyBorder="1" applyAlignment="1">
      <alignment horizontal="center" vertical="center"/>
    </xf>
    <xf numFmtId="0" fontId="5" fillId="0" borderId="61" xfId="2" applyBorder="1" applyAlignment="1">
      <alignment horizontal="center" vertical="center"/>
    </xf>
    <xf numFmtId="38" fontId="5" fillId="0" borderId="62" xfId="3" applyFont="1" applyBorder="1" applyAlignment="1" applyProtection="1">
      <alignment horizontal="center" vertical="center"/>
    </xf>
    <xf numFmtId="38" fontId="5" fillId="0" borderId="60" xfId="3" applyFont="1" applyBorder="1" applyAlignment="1" applyProtection="1">
      <alignment horizontal="center" vertical="center"/>
    </xf>
    <xf numFmtId="38" fontId="5" fillId="0" borderId="63" xfId="3" applyFont="1" applyBorder="1" applyAlignment="1" applyProtection="1">
      <alignment horizontal="center" vertical="center"/>
    </xf>
    <xf numFmtId="0" fontId="5" fillId="0" borderId="54" xfId="2" applyBorder="1" applyAlignment="1">
      <alignment horizontal="center" vertical="center"/>
    </xf>
    <xf numFmtId="0" fontId="5" fillId="0" borderId="55" xfId="2" applyBorder="1" applyAlignment="1">
      <alignment horizontal="center" vertical="center"/>
    </xf>
    <xf numFmtId="0" fontId="5" fillId="0" borderId="56" xfId="2" applyBorder="1" applyAlignment="1">
      <alignment horizontal="center" vertical="center"/>
    </xf>
    <xf numFmtId="0" fontId="5" fillId="0" borderId="57" xfId="2" applyBorder="1" applyAlignment="1">
      <alignment horizontal="center" vertical="center"/>
    </xf>
    <xf numFmtId="0" fontId="5" fillId="0" borderId="58" xfId="2" applyBorder="1" applyAlignment="1">
      <alignment horizontal="center" vertical="center"/>
    </xf>
    <xf numFmtId="179" fontId="30" fillId="3" borderId="46" xfId="2" applyNumberFormat="1" applyFont="1" applyFill="1" applyBorder="1" applyAlignment="1">
      <alignment horizontal="center" vertical="center"/>
    </xf>
    <xf numFmtId="179" fontId="30" fillId="3" borderId="47" xfId="2" applyNumberFormat="1" applyFont="1" applyFill="1" applyBorder="1" applyAlignment="1">
      <alignment horizontal="center" vertical="center"/>
    </xf>
    <xf numFmtId="179" fontId="30" fillId="3" borderId="48" xfId="2" applyNumberFormat="1" applyFont="1" applyFill="1" applyBorder="1" applyAlignment="1">
      <alignment horizontal="center" vertical="center"/>
    </xf>
    <xf numFmtId="179" fontId="30" fillId="3" borderId="49" xfId="2" applyNumberFormat="1" applyFont="1" applyFill="1" applyBorder="1" applyAlignment="1">
      <alignment horizontal="center" vertical="center"/>
    </xf>
    <xf numFmtId="179" fontId="30" fillId="3" borderId="0" xfId="2" applyNumberFormat="1" applyFont="1" applyFill="1" applyAlignment="1">
      <alignment horizontal="center" vertical="center"/>
    </xf>
    <xf numFmtId="179" fontId="30" fillId="3" borderId="50" xfId="2" applyNumberFormat="1" applyFont="1" applyFill="1" applyBorder="1" applyAlignment="1">
      <alignment horizontal="center" vertical="center"/>
    </xf>
    <xf numFmtId="179" fontId="30" fillId="3" borderId="51" xfId="2" applyNumberFormat="1" applyFont="1" applyFill="1" applyBorder="1" applyAlignment="1">
      <alignment horizontal="center" vertical="center"/>
    </xf>
    <xf numFmtId="179" fontId="30" fillId="3" borderId="52" xfId="2" applyNumberFormat="1" applyFont="1" applyFill="1" applyBorder="1" applyAlignment="1">
      <alignment horizontal="center" vertical="center"/>
    </xf>
    <xf numFmtId="179" fontId="30" fillId="3" borderId="53" xfId="2" applyNumberFormat="1" applyFont="1" applyFill="1" applyBorder="1" applyAlignment="1">
      <alignment horizontal="center" vertical="center"/>
    </xf>
    <xf numFmtId="0" fontId="5" fillId="0" borderId="64" xfId="2" applyBorder="1" applyAlignment="1">
      <alignment horizontal="center" vertical="center"/>
    </xf>
    <xf numFmtId="0" fontId="5" fillId="0" borderId="65" xfId="2" applyBorder="1" applyAlignment="1">
      <alignment horizontal="center" vertical="center"/>
    </xf>
    <xf numFmtId="38" fontId="5" fillId="0" borderId="65" xfId="3" applyFont="1" applyBorder="1" applyAlignment="1" applyProtection="1">
      <alignment horizontal="center" vertical="center"/>
    </xf>
    <xf numFmtId="38" fontId="5" fillId="0" borderId="66" xfId="3" applyFont="1" applyBorder="1" applyAlignment="1" applyProtection="1">
      <alignment horizontal="center" vertical="center"/>
    </xf>
    <xf numFmtId="0" fontId="5" fillId="0" borderId="67" xfId="2" applyBorder="1" applyAlignment="1">
      <alignment horizontal="center" vertical="center"/>
    </xf>
    <xf numFmtId="38" fontId="5" fillId="0" borderId="68" xfId="3" applyFont="1" applyBorder="1" applyAlignment="1" applyProtection="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8" fontId="6" fillId="7" borderId="4" xfId="1" applyFont="1" applyFill="1" applyBorder="1" applyAlignment="1">
      <alignment horizontal="right" vertical="center"/>
    </xf>
    <xf numFmtId="38" fontId="6" fillId="7" borderId="5" xfId="1" applyFont="1" applyFill="1" applyBorder="1" applyAlignment="1">
      <alignment horizontal="right" vertical="center"/>
    </xf>
    <xf numFmtId="0" fontId="4" fillId="6" borderId="1"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38" fontId="4" fillId="6" borderId="4" xfId="1" applyFont="1" applyFill="1" applyBorder="1" applyAlignment="1" applyProtection="1">
      <alignment horizontal="right" vertical="center"/>
      <protection locked="0"/>
    </xf>
    <xf numFmtId="38" fontId="4" fillId="6" borderId="5" xfId="1" applyFont="1" applyFill="1" applyBorder="1" applyAlignment="1" applyProtection="1">
      <alignment horizontal="right" vertical="center"/>
      <protection locked="0"/>
    </xf>
    <xf numFmtId="38" fontId="4" fillId="6" borderId="22" xfId="1" applyFont="1" applyFill="1" applyBorder="1" applyAlignment="1" applyProtection="1">
      <alignment horizontal="right" vertical="center"/>
      <protection locked="0"/>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0" xfId="0" applyFont="1" applyAlignment="1">
      <alignment horizontal="center" vertical="center"/>
    </xf>
    <xf numFmtId="0" fontId="36" fillId="10" borderId="0" xfId="0" applyFont="1" applyFill="1" applyAlignment="1">
      <alignment horizontal="center" vertical="center" wrapText="1"/>
    </xf>
    <xf numFmtId="38" fontId="3" fillId="0" borderId="4" xfId="1" applyFont="1" applyBorder="1" applyAlignment="1">
      <alignment horizontal="right" vertical="center"/>
    </xf>
    <xf numFmtId="38" fontId="3" fillId="0" borderId="5" xfId="1" applyFont="1" applyBorder="1" applyAlignment="1">
      <alignment horizontal="right" vertical="center"/>
    </xf>
    <xf numFmtId="38" fontId="3" fillId="0" borderId="22" xfId="1" applyFont="1" applyBorder="1" applyAlignment="1">
      <alignment horizontal="right" vertical="center"/>
    </xf>
    <xf numFmtId="38" fontId="3" fillId="6" borderId="4" xfId="1" applyFont="1" applyFill="1" applyBorder="1" applyAlignment="1" applyProtection="1">
      <alignment horizontal="right" vertical="center"/>
      <protection locked="0"/>
    </xf>
    <xf numFmtId="38" fontId="3" fillId="6" borderId="5" xfId="1" applyFont="1" applyFill="1" applyBorder="1" applyAlignment="1" applyProtection="1">
      <alignment horizontal="right" vertical="center"/>
      <protection locked="0"/>
    </xf>
    <xf numFmtId="38" fontId="3" fillId="6" borderId="22" xfId="1" applyFont="1" applyFill="1" applyBorder="1" applyAlignment="1" applyProtection="1">
      <alignment horizontal="right" vertical="center"/>
      <protection locked="0"/>
    </xf>
    <xf numFmtId="178" fontId="6" fillId="6" borderId="7" xfId="0" applyNumberFormat="1" applyFont="1" applyFill="1" applyBorder="1" applyAlignment="1" applyProtection="1">
      <alignment horizontal="center" vertical="center"/>
      <protection locked="0"/>
    </xf>
    <xf numFmtId="178" fontId="6" fillId="6" borderId="8" xfId="0" applyNumberFormat="1" applyFont="1" applyFill="1" applyBorder="1" applyAlignment="1" applyProtection="1">
      <alignment horizontal="center" vertical="center"/>
      <protection locked="0"/>
    </xf>
    <xf numFmtId="178" fontId="6" fillId="6" borderId="9" xfId="0" applyNumberFormat="1" applyFont="1" applyFill="1" applyBorder="1" applyAlignment="1" applyProtection="1">
      <alignment horizontal="center" vertical="center"/>
      <protection locked="0"/>
    </xf>
    <xf numFmtId="178" fontId="6" fillId="6" borderId="11" xfId="0" applyNumberFormat="1" applyFont="1" applyFill="1" applyBorder="1" applyAlignment="1" applyProtection="1">
      <alignment horizontal="center" vertical="center"/>
      <protection locked="0"/>
    </xf>
    <xf numFmtId="0" fontId="39" fillId="0" borderId="0" xfId="0" applyFont="1" applyAlignment="1">
      <alignment horizontal="left" vertical="center" wrapText="1"/>
    </xf>
    <xf numFmtId="38" fontId="18" fillId="0" borderId="19" xfId="1" applyFont="1" applyBorder="1" applyAlignment="1">
      <alignment horizontal="right" vertical="center"/>
    </xf>
    <xf numFmtId="0" fontId="13" fillId="0" borderId="0" xfId="0" applyFont="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distributed" vertical="center"/>
    </xf>
    <xf numFmtId="181" fontId="13" fillId="0" borderId="0" xfId="1" quotePrefix="1" applyNumberFormat="1" applyFont="1" applyBorder="1" applyAlignment="1">
      <alignment horizontal="left" vertical="center"/>
    </xf>
    <xf numFmtId="0" fontId="13" fillId="0" borderId="21" xfId="0" applyFont="1" applyBorder="1" applyAlignment="1">
      <alignment horizontal="center" vertical="center"/>
    </xf>
    <xf numFmtId="38" fontId="18" fillId="3" borderId="19" xfId="1" applyFont="1" applyFill="1" applyBorder="1" applyAlignment="1">
      <alignment horizontal="right" vertical="center"/>
    </xf>
    <xf numFmtId="3" fontId="18" fillId="3" borderId="19" xfId="0" quotePrefix="1" applyNumberFormat="1" applyFont="1" applyFill="1" applyBorder="1" applyAlignment="1">
      <alignment horizontal="right" vertical="center"/>
    </xf>
    <xf numFmtId="0" fontId="18" fillId="3" borderId="19" xfId="0" applyFont="1" applyFill="1" applyBorder="1" applyAlignment="1">
      <alignment horizontal="right" vertical="center"/>
    </xf>
    <xf numFmtId="38" fontId="18" fillId="0" borderId="20" xfId="0" applyNumberFormat="1" applyFont="1" applyBorder="1" applyAlignment="1">
      <alignment horizontal="right" vertical="center"/>
    </xf>
    <xf numFmtId="0" fontId="18" fillId="0" borderId="20" xfId="0" applyFont="1" applyBorder="1" applyAlignment="1">
      <alignment horizontal="right"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35"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38" fontId="18" fillId="4" borderId="19" xfId="1" applyFont="1" applyFill="1" applyBorder="1" applyAlignment="1">
      <alignment horizontal="right" vertical="center"/>
    </xf>
    <xf numFmtId="38" fontId="18" fillId="7" borderId="19" xfId="1" applyFont="1" applyFill="1" applyBorder="1" applyAlignment="1">
      <alignment horizontal="right" vertical="center"/>
    </xf>
    <xf numFmtId="0" fontId="37" fillId="5" borderId="3" xfId="0" applyFont="1" applyFill="1" applyBorder="1" applyAlignment="1">
      <alignment horizontal="left" vertical="center" indent="1"/>
    </xf>
    <xf numFmtId="38" fontId="23" fillId="2" borderId="20" xfId="1" applyFont="1" applyFill="1" applyBorder="1" applyAlignment="1">
      <alignment horizontal="right" vertical="center"/>
    </xf>
    <xf numFmtId="179" fontId="37" fillId="5" borderId="0" xfId="0" applyNumberFormat="1" applyFont="1" applyFill="1">
      <alignment vertical="center"/>
    </xf>
    <xf numFmtId="0" fontId="13" fillId="0" borderId="0" xfId="0" applyFont="1" applyAlignment="1">
      <alignment horizontal="right" vertical="center"/>
    </xf>
    <xf numFmtId="182" fontId="24" fillId="0" borderId="0" xfId="0" applyNumberFormat="1" applyFont="1">
      <alignment vertical="center"/>
    </xf>
    <xf numFmtId="38" fontId="13" fillId="0" borderId="0" xfId="1" applyFont="1" applyBorder="1" applyAlignment="1">
      <alignment vertical="center"/>
    </xf>
    <xf numFmtId="0" fontId="5" fillId="0" borderId="10" xfId="2" applyBorder="1" applyAlignment="1">
      <alignment horizontal="center" vertical="center"/>
    </xf>
    <xf numFmtId="0" fontId="34" fillId="0" borderId="79" xfId="2" applyFont="1" applyBorder="1" applyAlignment="1">
      <alignment horizontal="center" vertical="center" wrapText="1"/>
    </xf>
    <xf numFmtId="0" fontId="34" fillId="0" borderId="80" xfId="2" applyFont="1" applyBorder="1" applyAlignment="1">
      <alignment horizontal="center" vertical="center"/>
    </xf>
    <xf numFmtId="0" fontId="34" fillId="0" borderId="85" xfId="2" applyFont="1" applyBorder="1" applyAlignment="1">
      <alignment horizontal="center" vertical="center"/>
    </xf>
    <xf numFmtId="0" fontId="34" fillId="0" borderId="86" xfId="2" applyFont="1" applyBorder="1" applyAlignment="1">
      <alignment horizontal="center" vertical="center"/>
    </xf>
    <xf numFmtId="0" fontId="34" fillId="0" borderId="90" xfId="2" applyFont="1" applyBorder="1" applyAlignment="1">
      <alignment horizontal="center" vertical="center"/>
    </xf>
    <xf numFmtId="0" fontId="34" fillId="0" borderId="91" xfId="2" applyFont="1" applyBorder="1" applyAlignment="1">
      <alignment horizontal="center" vertical="center"/>
    </xf>
    <xf numFmtId="0" fontId="34" fillId="0" borderId="81" xfId="2" applyFont="1" applyBorder="1" applyAlignment="1">
      <alignment horizontal="center" vertical="center" wrapText="1"/>
    </xf>
    <xf numFmtId="0" fontId="34" fillId="0" borderId="87" xfId="2" applyFont="1" applyBorder="1" applyAlignment="1">
      <alignment horizontal="center" vertical="center" wrapText="1"/>
    </xf>
    <xf numFmtId="0" fontId="34" fillId="0" borderId="92" xfId="2" applyFont="1" applyBorder="1" applyAlignment="1">
      <alignment horizontal="center" vertical="center" wrapText="1"/>
    </xf>
    <xf numFmtId="0" fontId="5" fillId="0" borderId="82" xfId="2" applyBorder="1" applyAlignment="1">
      <alignment horizontal="center" vertical="center"/>
    </xf>
    <xf numFmtId="0" fontId="5" fillId="0" borderId="83" xfId="2" applyBorder="1" applyAlignment="1">
      <alignment horizontal="center" vertical="center"/>
    </xf>
    <xf numFmtId="0" fontId="5" fillId="0" borderId="84" xfId="2" applyBorder="1" applyAlignment="1">
      <alignment horizontal="center" vertical="center"/>
    </xf>
    <xf numFmtId="0" fontId="5" fillId="0" borderId="16" xfId="2" applyBorder="1" applyAlignment="1">
      <alignment horizontal="center" vertical="center"/>
    </xf>
    <xf numFmtId="0" fontId="5" fillId="0" borderId="13" xfId="2" applyBorder="1" applyAlignment="1">
      <alignment horizontal="center" vertical="center"/>
    </xf>
    <xf numFmtId="0" fontId="5" fillId="0" borderId="14" xfId="2" applyBorder="1" applyAlignment="1">
      <alignment horizontal="center" vertical="center"/>
    </xf>
    <xf numFmtId="0" fontId="5" fillId="0" borderId="93" xfId="2" applyBorder="1" applyAlignment="1">
      <alignment horizontal="center" vertical="center"/>
    </xf>
    <xf numFmtId="0" fontId="5" fillId="0" borderId="94" xfId="2" applyBorder="1" applyAlignment="1">
      <alignment horizontal="center" vertical="center"/>
    </xf>
    <xf numFmtId="0" fontId="5" fillId="0" borderId="95" xfId="2" applyBorder="1" applyAlignment="1">
      <alignment horizontal="center" vertical="center"/>
    </xf>
    <xf numFmtId="0" fontId="10" fillId="0" borderId="4" xfId="2" applyFont="1" applyBorder="1" applyAlignment="1">
      <alignment horizontal="left" vertical="top"/>
    </xf>
    <xf numFmtId="0" fontId="10" fillId="0" borderId="5" xfId="2" applyFont="1" applyBorder="1" applyAlignment="1">
      <alignment horizontal="left" vertical="top"/>
    </xf>
    <xf numFmtId="0" fontId="10" fillId="0" borderId="6" xfId="2" applyFont="1" applyBorder="1" applyAlignment="1">
      <alignment horizontal="left" vertical="top"/>
    </xf>
    <xf numFmtId="0" fontId="34" fillId="0" borderId="87" xfId="2" applyFont="1" applyBorder="1" applyAlignment="1">
      <alignment horizontal="center" vertical="center"/>
    </xf>
    <xf numFmtId="0" fontId="34" fillId="0" borderId="92" xfId="2" applyFont="1" applyBorder="1" applyAlignment="1">
      <alignment horizontal="center" vertical="center"/>
    </xf>
    <xf numFmtId="0" fontId="10" fillId="0" borderId="88" xfId="2" applyFont="1" applyBorder="1" applyAlignment="1">
      <alignment horizontal="left" vertical="top"/>
    </xf>
    <xf numFmtId="0" fontId="10" fillId="0" borderId="89" xfId="2" applyFont="1" applyBorder="1" applyAlignment="1">
      <alignment horizontal="left" vertical="top"/>
    </xf>
    <xf numFmtId="0" fontId="5" fillId="0" borderId="86" xfId="2" applyBorder="1" applyAlignment="1">
      <alignment horizontal="center" vertical="center"/>
    </xf>
    <xf numFmtId="0" fontId="5" fillId="0" borderId="96" xfId="2" applyBorder="1" applyAlignment="1">
      <alignment horizontal="center" vertical="center"/>
    </xf>
    <xf numFmtId="0" fontId="5" fillId="0" borderId="97" xfId="2" applyBorder="1" applyAlignment="1">
      <alignment horizontal="center" vertical="center"/>
    </xf>
    <xf numFmtId="0" fontId="5" fillId="0" borderId="98" xfId="2" applyBorder="1" applyAlignment="1">
      <alignment horizontal="center" vertical="center"/>
    </xf>
    <xf numFmtId="0" fontId="5" fillId="0" borderId="79" xfId="2" applyBorder="1" applyAlignment="1">
      <alignment horizontal="center" vertical="center"/>
    </xf>
    <xf numFmtId="0" fontId="5" fillId="0" borderId="80" xfId="2" applyBorder="1" applyAlignment="1">
      <alignment horizontal="center" vertical="center"/>
    </xf>
    <xf numFmtId="0" fontId="5" fillId="0" borderId="109" xfId="2" applyBorder="1" applyAlignment="1">
      <alignment horizontal="center" vertical="center"/>
    </xf>
    <xf numFmtId="0" fontId="34" fillId="0" borderId="106" xfId="2" applyFont="1" applyBorder="1" applyAlignment="1">
      <alignment horizontal="left" vertical="top"/>
    </xf>
    <xf numFmtId="0" fontId="34" fillId="0" borderId="110" xfId="2" applyFont="1" applyBorder="1" applyAlignment="1">
      <alignment horizontal="left" vertical="top"/>
    </xf>
    <xf numFmtId="0" fontId="34" fillId="0" borderId="83" xfId="2" applyFont="1" applyBorder="1" applyAlignment="1">
      <alignment horizontal="right" vertical="top"/>
    </xf>
    <xf numFmtId="0" fontId="34" fillId="0" borderId="97" xfId="2" applyFont="1" applyBorder="1" applyAlignment="1">
      <alignment horizontal="right" vertical="top"/>
    </xf>
    <xf numFmtId="0" fontId="34" fillId="0" borderId="84" xfId="2" applyFont="1" applyBorder="1" applyAlignment="1">
      <alignment horizontal="right" vertical="top"/>
    </xf>
    <xf numFmtId="0" fontId="34" fillId="0" borderId="111" xfId="2" applyFont="1" applyBorder="1" applyAlignment="1">
      <alignment horizontal="right" vertical="top"/>
    </xf>
    <xf numFmtId="0" fontId="5" fillId="3" borderId="107" xfId="2" applyFill="1" applyBorder="1" applyAlignment="1">
      <alignment horizontal="center" vertical="center"/>
    </xf>
    <xf numFmtId="0" fontId="5" fillId="3" borderId="112" xfId="2" applyFill="1" applyBorder="1" applyAlignment="1">
      <alignment horizontal="center" vertical="center"/>
    </xf>
    <xf numFmtId="0" fontId="34" fillId="0" borderId="99" xfId="2" applyFont="1" applyBorder="1" applyAlignment="1">
      <alignment horizontal="center" vertical="center"/>
    </xf>
    <xf numFmtId="0" fontId="34" fillId="0" borderId="100" xfId="2" applyFont="1" applyBorder="1" applyAlignment="1">
      <alignment horizontal="center" vertical="center"/>
    </xf>
    <xf numFmtId="0" fontId="34" fillId="0" borderId="101" xfId="2" applyFont="1" applyBorder="1" applyAlignment="1">
      <alignment horizontal="center" vertical="center"/>
    </xf>
    <xf numFmtId="0" fontId="34" fillId="0" borderId="102" xfId="2" applyFont="1" applyBorder="1" applyAlignment="1">
      <alignment horizontal="center" vertical="center"/>
    </xf>
    <xf numFmtId="0" fontId="34" fillId="3" borderId="103" xfId="2" applyFont="1" applyFill="1" applyBorder="1" applyAlignment="1">
      <alignment horizontal="center" vertical="center" wrapText="1"/>
    </xf>
    <xf numFmtId="0" fontId="34" fillId="3" borderId="104" xfId="2" applyFont="1" applyFill="1" applyBorder="1" applyAlignment="1">
      <alignment horizontal="center" vertical="center"/>
    </xf>
    <xf numFmtId="0" fontId="34" fillId="3" borderId="105" xfId="2" applyFont="1" applyFill="1" applyBorder="1" applyAlignment="1">
      <alignment horizontal="center" vertical="center"/>
    </xf>
    <xf numFmtId="0" fontId="34" fillId="0" borderId="22" xfId="2" applyFont="1" applyBorder="1" applyAlignment="1">
      <alignment horizontal="center" vertical="center"/>
    </xf>
    <xf numFmtId="0" fontId="34" fillId="0" borderId="80" xfId="2" applyFont="1" applyBorder="1" applyAlignment="1">
      <alignment horizontal="right" vertical="top"/>
    </xf>
    <xf numFmtId="0" fontId="34" fillId="0" borderId="98" xfId="2" applyFont="1" applyBorder="1" applyAlignment="1">
      <alignment horizontal="right" vertical="top"/>
    </xf>
    <xf numFmtId="0" fontId="34" fillId="0" borderId="7" xfId="2" applyFont="1" applyBorder="1" applyAlignment="1">
      <alignment horizontal="left" wrapText="1"/>
    </xf>
    <xf numFmtId="0" fontId="34" fillId="0" borderId="3" xfId="2" applyFont="1" applyBorder="1" applyAlignment="1">
      <alignment horizontal="left" wrapText="1"/>
    </xf>
    <xf numFmtId="0" fontId="34" fillId="0" borderId="8" xfId="2" applyFont="1" applyBorder="1" applyAlignment="1">
      <alignment horizontal="left" wrapText="1"/>
    </xf>
    <xf numFmtId="0" fontId="34" fillId="0" borderId="2" xfId="2" applyFont="1" applyBorder="1" applyAlignment="1">
      <alignment horizontal="left" wrapText="1"/>
    </xf>
    <xf numFmtId="0" fontId="34" fillId="0" borderId="0" xfId="2" applyFont="1" applyAlignment="1">
      <alignment horizontal="left" wrapText="1"/>
    </xf>
    <xf numFmtId="0" fontId="34" fillId="0" borderId="12" xfId="2" applyFont="1" applyBorder="1" applyAlignment="1">
      <alignment horizontal="left" wrapText="1"/>
    </xf>
    <xf numFmtId="0" fontId="34" fillId="0" borderId="83" xfId="2" applyFont="1" applyBorder="1" applyAlignment="1">
      <alignment horizontal="center" vertical="center"/>
    </xf>
    <xf numFmtId="0" fontId="34" fillId="0" borderId="13" xfId="2" applyFont="1" applyBorder="1" applyAlignment="1">
      <alignment horizontal="center" vertical="center"/>
    </xf>
    <xf numFmtId="0" fontId="34" fillId="0" borderId="109" xfId="2" applyFont="1" applyBorder="1" applyAlignment="1">
      <alignment horizontal="center" vertical="center"/>
    </xf>
    <xf numFmtId="0" fontId="34" fillId="0" borderId="97" xfId="2" applyFont="1" applyBorder="1" applyAlignment="1">
      <alignment horizontal="center" vertical="center"/>
    </xf>
    <xf numFmtId="0" fontId="34" fillId="0" borderId="98" xfId="2" applyFont="1" applyBorder="1" applyAlignment="1">
      <alignment horizontal="center" vertical="center"/>
    </xf>
    <xf numFmtId="0" fontId="34" fillId="0" borderId="115" xfId="2" applyFont="1" applyBorder="1" applyAlignment="1">
      <alignment horizontal="center" vertical="center"/>
    </xf>
    <xf numFmtId="0" fontId="10" fillId="0" borderId="1" xfId="2" applyFont="1" applyBorder="1" applyAlignment="1">
      <alignment horizontal="center" vertical="center"/>
    </xf>
    <xf numFmtId="0" fontId="34" fillId="3" borderId="83" xfId="2" applyFont="1" applyFill="1" applyBorder="1" applyAlignment="1">
      <alignment horizontal="right" vertical="top"/>
    </xf>
    <xf numFmtId="0" fontId="34" fillId="3" borderId="113" xfId="2" applyFont="1" applyFill="1" applyBorder="1" applyAlignment="1">
      <alignment horizontal="right" vertical="top"/>
    </xf>
    <xf numFmtId="0" fontId="34" fillId="3" borderId="108" xfId="2" applyFont="1" applyFill="1" applyBorder="1" applyAlignment="1">
      <alignment horizontal="right" vertical="top"/>
    </xf>
    <xf numFmtId="0" fontId="34" fillId="3" borderId="114" xfId="2" applyFont="1" applyFill="1" applyBorder="1" applyAlignment="1">
      <alignment horizontal="right" vertical="top"/>
    </xf>
    <xf numFmtId="0" fontId="34" fillId="0" borderId="7" xfId="2" applyFont="1" applyBorder="1" applyAlignment="1">
      <alignment horizontal="right" vertical="top"/>
    </xf>
    <xf numFmtId="0" fontId="34" fillId="0" borderId="116" xfId="2" applyFont="1" applyBorder="1" applyAlignment="1">
      <alignment horizontal="right" vertical="top"/>
    </xf>
    <xf numFmtId="0" fontId="34" fillId="0" borderId="9" xfId="2" applyFont="1" applyBorder="1" applyAlignment="1">
      <alignment horizontal="right" vertical="top"/>
    </xf>
    <xf numFmtId="0" fontId="34" fillId="0" borderId="120" xfId="2" applyFont="1" applyBorder="1" applyAlignment="1">
      <alignment horizontal="right" vertical="top"/>
    </xf>
    <xf numFmtId="0" fontId="34" fillId="0" borderId="117" xfId="2" applyFont="1" applyBorder="1" applyAlignment="1">
      <alignment horizontal="right" vertical="top"/>
    </xf>
    <xf numFmtId="0" fontId="34" fillId="0" borderId="8" xfId="2" applyFont="1" applyBorder="1" applyAlignment="1">
      <alignment horizontal="right" vertical="top"/>
    </xf>
    <xf numFmtId="0" fontId="34" fillId="0" borderId="121" xfId="2" applyFont="1" applyBorder="1" applyAlignment="1">
      <alignment horizontal="right" vertical="top"/>
    </xf>
    <xf numFmtId="0" fontId="34" fillId="0" borderId="11" xfId="2" applyFont="1" applyBorder="1" applyAlignment="1">
      <alignment horizontal="right" vertical="top"/>
    </xf>
    <xf numFmtId="0" fontId="34" fillId="0" borderId="118" xfId="2" applyFont="1" applyBorder="1" applyAlignment="1">
      <alignment horizontal="right" vertical="top"/>
    </xf>
    <xf numFmtId="0" fontId="34" fillId="0" borderId="122" xfId="2" applyFont="1" applyBorder="1" applyAlignment="1">
      <alignment horizontal="right" vertical="top"/>
    </xf>
    <xf numFmtId="0" fontId="34" fillId="0" borderId="118" xfId="2" applyFont="1" applyBorder="1" applyAlignment="1">
      <alignment horizontal="center" vertical="top"/>
    </xf>
    <xf numFmtId="0" fontId="34" fillId="0" borderId="122" xfId="2" applyFont="1" applyBorder="1" applyAlignment="1">
      <alignment horizontal="center" vertical="top"/>
    </xf>
    <xf numFmtId="0" fontId="34" fillId="0" borderId="119" xfId="2" applyFont="1" applyBorder="1" applyAlignment="1">
      <alignment horizontal="right" vertical="top"/>
    </xf>
    <xf numFmtId="0" fontId="34" fillId="0" borderId="123" xfId="2" applyFont="1" applyBorder="1" applyAlignment="1">
      <alignment horizontal="right" vertical="top"/>
    </xf>
    <xf numFmtId="0" fontId="34" fillId="0" borderId="79" xfId="2" applyFont="1" applyBorder="1" applyAlignment="1">
      <alignment horizontal="right" vertical="top"/>
    </xf>
    <xf numFmtId="0" fontId="34" fillId="0" borderId="109" xfId="2" applyFont="1" applyBorder="1" applyAlignment="1">
      <alignment horizontal="right" vertical="top"/>
    </xf>
    <xf numFmtId="0" fontId="34" fillId="0" borderId="3" xfId="2" applyFont="1" applyBorder="1" applyAlignment="1">
      <alignment horizontal="right" vertical="top"/>
    </xf>
    <xf numFmtId="0" fontId="34" fillId="0" borderId="10" xfId="2" applyFont="1" applyBorder="1" applyAlignment="1">
      <alignment horizontal="right" vertical="top"/>
    </xf>
    <xf numFmtId="0" fontId="29" fillId="0" borderId="2" xfId="2" applyFont="1" applyBorder="1" applyAlignment="1">
      <alignment horizontal="left" vertical="top"/>
    </xf>
    <xf numFmtId="0" fontId="29" fillId="0" borderId="0" xfId="2" applyFont="1" applyAlignment="1">
      <alignment horizontal="left" vertical="top"/>
    </xf>
    <xf numFmtId="0" fontId="29" fillId="0" borderId="12" xfId="2" applyFont="1" applyBorder="1" applyAlignment="1">
      <alignment horizontal="left" vertical="top"/>
    </xf>
    <xf numFmtId="0" fontId="29" fillId="0" borderId="9" xfId="2" applyFont="1" applyBorder="1" applyAlignment="1">
      <alignment horizontal="left" vertical="top"/>
    </xf>
    <xf numFmtId="0" fontId="29" fillId="0" borderId="10" xfId="2" applyFont="1" applyBorder="1" applyAlignment="1">
      <alignment horizontal="left" vertical="top"/>
    </xf>
    <xf numFmtId="0" fontId="29" fillId="0" borderId="11" xfId="2" applyFont="1" applyBorder="1" applyAlignment="1">
      <alignment horizontal="left" vertical="top"/>
    </xf>
    <xf numFmtId="0" fontId="34" fillId="0" borderId="7" xfId="2" applyFont="1" applyBorder="1" applyAlignment="1">
      <alignment horizontal="left" vertical="top"/>
    </xf>
    <xf numFmtId="0" fontId="34" fillId="0" borderId="9" xfId="2" applyFont="1" applyBorder="1" applyAlignment="1">
      <alignment horizontal="left" vertical="top"/>
    </xf>
  </cellXfs>
  <cellStyles count="4">
    <cellStyle name="桁区切り" xfId="1" builtinId="6"/>
    <cellStyle name="桁区切り 2" xfId="3" xr:uid="{106C550D-6B94-4A66-B40F-52D4D2603E8A}"/>
    <cellStyle name="標準" xfId="0" builtinId="0"/>
    <cellStyle name="標準 2" xfId="2" xr:uid="{B1747583-ABA8-4D87-AED6-4596A3DD7C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20</xdr:col>
      <xdr:colOff>0</xdr:colOff>
      <xdr:row>1</xdr:row>
      <xdr:rowOff>285750</xdr:rowOff>
    </xdr:from>
    <xdr:ext cx="1098186" cy="62581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229225" y="457200"/>
          <a:ext cx="1098186" cy="625812"/>
        </a:xfrm>
        <a:prstGeom prst="rect">
          <a:avLst/>
        </a:prstGeom>
        <a:solidFill>
          <a:schemeClr val="bg1"/>
        </a:solidFill>
        <a:ln>
          <a:solidFill>
            <a:srgbClr val="FF0000"/>
          </a:solidFill>
        </a:ln>
      </xdr:spPr>
      <xdr:style>
        <a:lnRef idx="2">
          <a:schemeClr val="accent2"/>
        </a:lnRef>
        <a:fillRef idx="1">
          <a:schemeClr val="bg1"/>
        </a:fillRef>
        <a:effectRef idx="0">
          <a:schemeClr val="accent2"/>
        </a:effectRef>
        <a:fontRef idx="minor">
          <a:schemeClr val="tx1"/>
        </a:fontRef>
      </xdr:style>
      <xdr:txBody>
        <a:bodyPr vertOverflow="clip" horzOverflow="clip" wrap="none" lIns="91440" tIns="45720" rIns="91440" bIns="45720" anchor="t">
          <a:spAutoFit/>
        </a:bodyPr>
        <a:lstStyle/>
        <a:p>
          <a:r>
            <a:rPr lang="ja-JP" altLang="en-US" sz="3200">
              <a:solidFill>
                <a:srgbClr val="FF0000"/>
              </a:solidFill>
            </a:rPr>
            <a:t>見 本</a:t>
          </a:r>
          <a:endParaRPr lang="ja-JP" altLang="en-US"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57149</xdr:colOff>
      <xdr:row>1</xdr:row>
      <xdr:rowOff>109538</xdr:rowOff>
    </xdr:from>
    <xdr:to>
      <xdr:col>11</xdr:col>
      <xdr:colOff>600074</xdr:colOff>
      <xdr:row>48</xdr:row>
      <xdr:rowOff>190500</xdr:rowOff>
    </xdr:to>
    <xdr:pic>
      <xdr:nvPicPr>
        <xdr:cNvPr id="8" name="図 7">
          <a:extLst>
            <a:ext uri="{FF2B5EF4-FFF2-40B4-BE49-F238E27FC236}">
              <a16:creationId xmlns:a16="http://schemas.microsoft.com/office/drawing/2014/main" id="{E2D340AA-6C7B-489C-9EA4-3E282C0983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71" r="5880" b="2490"/>
        <a:stretch/>
      </xdr:blipFill>
      <xdr:spPr bwMode="auto">
        <a:xfrm>
          <a:off x="438149" y="347663"/>
          <a:ext cx="7400925" cy="11272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342899</xdr:colOff>
      <xdr:row>32</xdr:row>
      <xdr:rowOff>19050</xdr:rowOff>
    </xdr:from>
    <xdr:to>
      <xdr:col>6</xdr:col>
      <xdr:colOff>371474</xdr:colOff>
      <xdr:row>33</xdr:row>
      <xdr:rowOff>133350</xdr:rowOff>
    </xdr:to>
    <xdr:sp macro="" textlink="">
      <xdr:nvSpPr>
        <xdr:cNvPr id="3" name="正方形/長方形 2">
          <a:extLst>
            <a:ext uri="{FF2B5EF4-FFF2-40B4-BE49-F238E27FC236}">
              <a16:creationId xmlns:a16="http://schemas.microsoft.com/office/drawing/2014/main" id="{6108B801-293D-468C-9E77-A000FC764518}"/>
            </a:ext>
          </a:extLst>
        </xdr:cNvPr>
        <xdr:cNvSpPr/>
      </xdr:nvSpPr>
      <xdr:spPr>
        <a:xfrm>
          <a:off x="723899" y="7639050"/>
          <a:ext cx="3457575" cy="35242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400050</xdr:colOff>
      <xdr:row>32</xdr:row>
      <xdr:rowOff>19053</xdr:rowOff>
    </xdr:from>
    <xdr:to>
      <xdr:col>13</xdr:col>
      <xdr:colOff>0</xdr:colOff>
      <xdr:row>32</xdr:row>
      <xdr:rowOff>190500</xdr:rowOff>
    </xdr:to>
    <xdr:cxnSp macro="">
      <xdr:nvCxnSpPr>
        <xdr:cNvPr id="4" name="直線コネクタ 3">
          <a:extLst>
            <a:ext uri="{FF2B5EF4-FFF2-40B4-BE49-F238E27FC236}">
              <a16:creationId xmlns:a16="http://schemas.microsoft.com/office/drawing/2014/main" id="{D2282AB8-9853-40F9-9891-4B48342D348B}"/>
            </a:ext>
          </a:extLst>
        </xdr:cNvPr>
        <xdr:cNvCxnSpPr/>
      </xdr:nvCxnSpPr>
      <xdr:spPr>
        <a:xfrm flipV="1">
          <a:off x="4210050" y="7639053"/>
          <a:ext cx="4400550" cy="17144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9523</xdr:colOff>
      <xdr:row>31</xdr:row>
      <xdr:rowOff>19049</xdr:rowOff>
    </xdr:from>
    <xdr:to>
      <xdr:col>15</xdr:col>
      <xdr:colOff>542924</xdr:colOff>
      <xdr:row>34</xdr:row>
      <xdr:rowOff>219075</xdr:rowOff>
    </xdr:to>
    <xdr:sp macro="" textlink="">
      <xdr:nvSpPr>
        <xdr:cNvPr id="5" name="テキスト ボックス 4">
          <a:extLst>
            <a:ext uri="{FF2B5EF4-FFF2-40B4-BE49-F238E27FC236}">
              <a16:creationId xmlns:a16="http://schemas.microsoft.com/office/drawing/2014/main" id="{C57E982D-D8F3-4089-978E-9254297A9761}"/>
            </a:ext>
          </a:extLst>
        </xdr:cNvPr>
        <xdr:cNvSpPr txBox="1"/>
      </xdr:nvSpPr>
      <xdr:spPr>
        <a:xfrm>
          <a:off x="8620123" y="7400924"/>
          <a:ext cx="1905001" cy="91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所得金額等の合計額を</a:t>
          </a:r>
          <a:endParaRPr kumimoji="1" lang="en-US" altLang="ja-JP" sz="1100"/>
        </a:p>
        <a:p>
          <a:r>
            <a:rPr kumimoji="1" lang="ja-JP" altLang="en-US" sz="1100"/>
            <a:t>試算シートの総所得金額等の欄に入力してください。</a:t>
          </a:r>
          <a:endParaRPr kumimoji="1" lang="en-US" altLang="ja-JP" sz="1100"/>
        </a:p>
        <a:p>
          <a:endParaRPr kumimoji="1" lang="en-US" altLang="ja-JP" sz="1100"/>
        </a:p>
        <a:p>
          <a:r>
            <a:rPr kumimoji="1" lang="ja-JP" altLang="en-US" sz="1000"/>
            <a:t>。</a:t>
          </a:r>
        </a:p>
      </xdr:txBody>
    </xdr:sp>
    <xdr:clientData/>
  </xdr:twoCellAnchor>
  <xdr:oneCellAnchor>
    <xdr:from>
      <xdr:col>10</xdr:col>
      <xdr:colOff>195262</xdr:colOff>
      <xdr:row>1</xdr:row>
      <xdr:rowOff>65264</xdr:rowOff>
    </xdr:from>
    <xdr:ext cx="1098186" cy="625812"/>
    <xdr:sp macro="" textlink="">
      <xdr:nvSpPr>
        <xdr:cNvPr id="6" name="テキスト ボックス 5">
          <a:extLst>
            <a:ext uri="{FF2B5EF4-FFF2-40B4-BE49-F238E27FC236}">
              <a16:creationId xmlns:a16="http://schemas.microsoft.com/office/drawing/2014/main" id="{F45F448A-C378-47AB-AC08-2FBEDF392A58}"/>
            </a:ext>
          </a:extLst>
        </xdr:cNvPr>
        <xdr:cNvSpPr txBox="1"/>
      </xdr:nvSpPr>
      <xdr:spPr>
        <a:xfrm>
          <a:off x="6748462" y="303389"/>
          <a:ext cx="1098186" cy="625812"/>
        </a:xfrm>
        <a:prstGeom prst="rect">
          <a:avLst/>
        </a:prstGeom>
        <a:solidFill>
          <a:schemeClr val="bg1"/>
        </a:solidFill>
        <a:ln>
          <a:solidFill>
            <a:srgbClr val="FF0000"/>
          </a:solidFill>
        </a:ln>
      </xdr:spPr>
      <xdr:style>
        <a:lnRef idx="2">
          <a:schemeClr val="accent2"/>
        </a:lnRef>
        <a:fillRef idx="1">
          <a:schemeClr val="bg1"/>
        </a:fillRef>
        <a:effectRef idx="0">
          <a:schemeClr val="accent2"/>
        </a:effectRef>
        <a:fontRef idx="minor">
          <a:schemeClr val="tx1"/>
        </a:fontRef>
      </xdr:style>
      <xdr:txBody>
        <a:bodyPr vertOverflow="clip" horzOverflow="clip" wrap="none" lIns="91440" tIns="45720" rIns="91440" bIns="45720" anchor="t">
          <a:spAutoFit/>
        </a:bodyPr>
        <a:lstStyle/>
        <a:p>
          <a:r>
            <a:rPr lang="ja-JP" altLang="en-US" sz="3200">
              <a:solidFill>
                <a:srgbClr val="FF0000"/>
              </a:solidFill>
            </a:rPr>
            <a:t>見 本</a:t>
          </a:r>
          <a:endParaRPr lang="ja-JP" altLang="en-US" sz="1100">
            <a:solidFill>
              <a:srgbClr val="FF0000"/>
            </a:solidFill>
          </a:endParaRPr>
        </a:p>
      </xdr:txBody>
    </xdr:sp>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BEE9-6C06-4C6A-A68C-A8024F1F5182}">
  <sheetPr>
    <pageSetUpPr fitToPage="1"/>
  </sheetPr>
  <dimension ref="A1:O73"/>
  <sheetViews>
    <sheetView tabSelected="1" view="pageBreakPreview" zoomScaleNormal="100" zoomScaleSheetLayoutView="100" workbookViewId="0">
      <selection activeCell="B65" sqref="B65:D69"/>
    </sheetView>
  </sheetViews>
  <sheetFormatPr defaultRowHeight="18"/>
  <cols>
    <col min="2" max="2" width="7.8984375" customWidth="1"/>
    <col min="3" max="3" width="7.09765625" customWidth="1"/>
    <col min="4" max="13" width="7.8984375" customWidth="1"/>
  </cols>
  <sheetData>
    <row r="1" spans="1:15">
      <c r="A1" s="79"/>
      <c r="B1" s="79"/>
      <c r="C1" s="79"/>
      <c r="D1" s="79"/>
      <c r="E1" s="79"/>
      <c r="F1" s="79"/>
      <c r="G1" s="79"/>
      <c r="H1" s="79"/>
      <c r="I1" s="79"/>
      <c r="J1" s="79"/>
      <c r="K1" s="79"/>
      <c r="L1" s="79"/>
      <c r="M1" s="79"/>
      <c r="N1" s="79"/>
    </row>
    <row r="2" spans="1:15" ht="21">
      <c r="A2" s="123" t="s">
        <v>124</v>
      </c>
      <c r="B2" s="123"/>
      <c r="C2" s="123"/>
      <c r="D2" s="123"/>
      <c r="E2" s="123"/>
      <c r="F2" s="123"/>
      <c r="G2" s="123"/>
      <c r="H2" s="123"/>
      <c r="I2" s="123"/>
      <c r="J2" s="123"/>
      <c r="K2" s="123"/>
      <c r="L2" s="123"/>
      <c r="M2" s="123"/>
      <c r="N2" s="123"/>
    </row>
    <row r="3" spans="1:15">
      <c r="A3" s="79"/>
      <c r="B3" s="79"/>
      <c r="C3" s="79"/>
      <c r="D3" s="79"/>
      <c r="E3" s="79"/>
      <c r="F3" s="79"/>
      <c r="G3" s="79"/>
      <c r="H3" s="79"/>
      <c r="I3" s="79"/>
      <c r="J3" s="79"/>
      <c r="K3" s="79"/>
      <c r="L3" s="79"/>
      <c r="M3" s="79"/>
      <c r="N3" s="79"/>
    </row>
    <row r="4" spans="1:15">
      <c r="A4" s="79"/>
      <c r="B4" s="80" t="s">
        <v>125</v>
      </c>
      <c r="C4" s="79"/>
      <c r="D4" s="79"/>
      <c r="E4" s="79"/>
      <c r="F4" s="79"/>
      <c r="G4" s="79"/>
      <c r="H4" s="79"/>
      <c r="I4" s="79"/>
      <c r="J4" s="79"/>
      <c r="K4" s="79"/>
      <c r="L4" s="79"/>
      <c r="M4" s="79"/>
      <c r="N4" s="79"/>
    </row>
    <row r="5" spans="1:15">
      <c r="A5" s="79"/>
      <c r="B5" s="80" t="s">
        <v>148</v>
      </c>
      <c r="C5" s="79"/>
      <c r="D5" s="79"/>
      <c r="E5" s="79"/>
      <c r="F5" s="79"/>
      <c r="G5" s="79"/>
      <c r="H5" s="79"/>
      <c r="I5" s="79"/>
      <c r="J5" s="79"/>
      <c r="K5" s="79"/>
      <c r="L5" s="79"/>
      <c r="M5" s="79"/>
      <c r="N5" s="79"/>
    </row>
    <row r="6" spans="1:15">
      <c r="A6" s="79"/>
      <c r="B6" s="80" t="s">
        <v>167</v>
      </c>
      <c r="C6" s="79"/>
      <c r="D6" s="79"/>
      <c r="E6" s="79"/>
      <c r="F6" s="79"/>
      <c r="G6" s="79"/>
      <c r="H6" s="79"/>
      <c r="I6" s="79"/>
      <c r="J6" s="79"/>
      <c r="K6" s="79"/>
      <c r="L6" s="79"/>
      <c r="M6" s="79"/>
      <c r="N6" s="79"/>
    </row>
    <row r="7" spans="1:15">
      <c r="A7" s="79"/>
      <c r="B7" s="80" t="s">
        <v>168</v>
      </c>
      <c r="C7" s="79"/>
      <c r="D7" s="79"/>
      <c r="E7" s="79"/>
      <c r="F7" s="79"/>
      <c r="G7" s="79"/>
      <c r="H7" s="79"/>
      <c r="I7" s="79"/>
      <c r="J7" s="79"/>
      <c r="K7" s="79"/>
      <c r="L7" s="79"/>
      <c r="M7" s="79"/>
      <c r="N7" s="79"/>
    </row>
    <row r="8" spans="1:15">
      <c r="A8" s="79"/>
      <c r="B8" s="80" t="s">
        <v>169</v>
      </c>
      <c r="C8" s="79"/>
      <c r="D8" s="79"/>
      <c r="E8" s="79"/>
      <c r="F8" s="79"/>
      <c r="G8" s="79"/>
      <c r="H8" s="79"/>
      <c r="I8" s="79"/>
      <c r="J8" s="79"/>
      <c r="K8" s="79"/>
      <c r="L8" s="79"/>
      <c r="M8" s="79"/>
      <c r="N8" s="79"/>
    </row>
    <row r="9" spans="1:15" ht="18.75" customHeight="1">
      <c r="A9" s="79"/>
      <c r="B9" s="80" t="s">
        <v>126</v>
      </c>
      <c r="C9" s="79"/>
      <c r="D9" s="79"/>
      <c r="E9" s="79"/>
      <c r="F9" s="79"/>
      <c r="G9" s="79"/>
      <c r="H9" s="79"/>
      <c r="I9" s="79"/>
      <c r="J9" s="79"/>
      <c r="K9" s="79"/>
      <c r="L9" s="79"/>
      <c r="M9" s="79"/>
      <c r="N9" s="79"/>
    </row>
    <row r="10" spans="1:15">
      <c r="A10" s="79"/>
      <c r="B10" s="80" t="s">
        <v>145</v>
      </c>
      <c r="D10" s="79"/>
      <c r="E10" s="79"/>
      <c r="F10" s="79"/>
      <c r="G10" s="79"/>
      <c r="H10" s="79"/>
      <c r="I10" s="79"/>
      <c r="J10" s="79"/>
      <c r="K10" s="79"/>
      <c r="L10" s="79"/>
      <c r="M10" s="79"/>
      <c r="N10" s="79"/>
    </row>
    <row r="11" spans="1:15">
      <c r="A11" s="79"/>
      <c r="B11" s="80" t="s">
        <v>127</v>
      </c>
      <c r="D11" s="79"/>
      <c r="E11" s="79"/>
      <c r="F11" s="79"/>
      <c r="G11" s="79"/>
      <c r="H11" s="79"/>
      <c r="I11" s="79"/>
      <c r="J11" s="79"/>
      <c r="K11" s="79"/>
      <c r="L11" s="79"/>
      <c r="M11" s="79"/>
      <c r="N11" s="79"/>
    </row>
    <row r="12" spans="1:15">
      <c r="A12" s="79"/>
      <c r="B12" s="80" t="s">
        <v>170</v>
      </c>
      <c r="D12" s="79"/>
      <c r="E12" s="79"/>
      <c r="F12" s="79"/>
      <c r="G12" s="79"/>
      <c r="H12" s="79"/>
      <c r="I12" s="79"/>
      <c r="J12" s="79"/>
      <c r="K12" s="79"/>
      <c r="L12" s="79"/>
      <c r="M12" s="79"/>
      <c r="N12" s="79"/>
    </row>
    <row r="13" spans="1:15">
      <c r="A13" s="79"/>
      <c r="B13" s="80" t="s">
        <v>128</v>
      </c>
      <c r="D13" s="79"/>
      <c r="E13" s="79"/>
      <c r="F13" s="79"/>
      <c r="G13" s="79"/>
      <c r="H13" s="79"/>
      <c r="I13" s="79"/>
      <c r="J13" s="79"/>
      <c r="K13" s="79"/>
      <c r="L13" s="79"/>
      <c r="M13" s="79"/>
      <c r="N13" s="79"/>
    </row>
    <row r="14" spans="1:15" ht="58.5" customHeight="1">
      <c r="A14" s="79"/>
      <c r="B14" s="124" t="s">
        <v>165</v>
      </c>
      <c r="C14" s="124"/>
      <c r="D14" s="124"/>
      <c r="E14" s="124"/>
      <c r="F14" s="124"/>
      <c r="G14" s="124"/>
      <c r="H14" s="124"/>
      <c r="I14" s="124"/>
      <c r="J14" s="124"/>
      <c r="K14" s="124"/>
      <c r="L14" s="124"/>
      <c r="M14" s="124"/>
      <c r="N14" s="124"/>
      <c r="O14" s="98"/>
    </row>
    <row r="15" spans="1:15">
      <c r="A15" s="79"/>
      <c r="B15" s="79"/>
      <c r="C15" s="80"/>
      <c r="D15" s="79"/>
      <c r="E15" s="79"/>
      <c r="F15" s="79"/>
      <c r="G15" s="79"/>
      <c r="H15" s="79"/>
      <c r="I15" s="79"/>
      <c r="J15" s="79"/>
      <c r="K15" s="79"/>
      <c r="L15" s="79"/>
      <c r="M15" s="79"/>
      <c r="N15" s="79"/>
    </row>
    <row r="16" spans="1:15">
      <c r="A16" s="79"/>
      <c r="B16" s="80"/>
      <c r="C16" s="79"/>
      <c r="D16" s="79"/>
      <c r="E16" s="79"/>
      <c r="F16" s="79"/>
      <c r="G16" s="79"/>
      <c r="H16" s="79"/>
      <c r="I16" s="79"/>
      <c r="J16" s="79"/>
      <c r="K16" s="79"/>
      <c r="L16" s="79"/>
      <c r="M16" s="79"/>
      <c r="N16" s="79"/>
    </row>
    <row r="17" spans="1:15">
      <c r="A17" s="79"/>
      <c r="B17" s="80" t="s">
        <v>129</v>
      </c>
      <c r="C17" s="79"/>
      <c r="D17" s="79"/>
      <c r="E17" s="79"/>
      <c r="F17" s="79"/>
      <c r="G17" s="79"/>
      <c r="H17" s="79"/>
      <c r="I17" s="79"/>
      <c r="J17" s="79"/>
      <c r="K17" s="79"/>
      <c r="L17" s="79"/>
      <c r="M17" s="79"/>
      <c r="N17" s="79"/>
    </row>
    <row r="18" spans="1:15" ht="43.5" customHeight="1">
      <c r="A18" s="79"/>
      <c r="B18" s="124" t="s">
        <v>149</v>
      </c>
      <c r="C18" s="124"/>
      <c r="D18" s="124"/>
      <c r="E18" s="124"/>
      <c r="F18" s="124"/>
      <c r="G18" s="124"/>
      <c r="H18" s="124"/>
      <c r="I18" s="124"/>
      <c r="J18" s="124"/>
      <c r="K18" s="124"/>
      <c r="L18" s="124"/>
      <c r="M18" s="124"/>
      <c r="N18" s="124"/>
      <c r="O18" s="124"/>
    </row>
    <row r="19" spans="1:15" ht="26.4">
      <c r="A19" s="79"/>
      <c r="B19" s="91"/>
      <c r="C19" s="92" t="s">
        <v>130</v>
      </c>
      <c r="D19" s="125" t="s">
        <v>144</v>
      </c>
      <c r="E19" s="126"/>
      <c r="F19" s="126"/>
      <c r="G19" s="126"/>
      <c r="H19" s="126"/>
      <c r="I19" s="126"/>
      <c r="J19" s="126"/>
      <c r="K19" s="126"/>
      <c r="L19" s="126"/>
      <c r="M19" s="127"/>
      <c r="N19" s="79"/>
    </row>
    <row r="20" spans="1:15" ht="27" customHeight="1">
      <c r="A20" s="79"/>
      <c r="B20" s="91"/>
      <c r="C20" s="93" t="s">
        <v>87</v>
      </c>
      <c r="D20" s="128" t="s">
        <v>150</v>
      </c>
      <c r="E20" s="129"/>
      <c r="F20" s="129"/>
      <c r="G20" s="129"/>
      <c r="H20" s="129"/>
      <c r="I20" s="129"/>
      <c r="J20" s="129"/>
      <c r="K20" s="129"/>
      <c r="L20" s="129"/>
      <c r="M20" s="130"/>
      <c r="N20" s="79"/>
    </row>
    <row r="21" spans="1:15" ht="27" customHeight="1">
      <c r="A21" s="79"/>
      <c r="B21" s="91"/>
      <c r="C21" s="94" t="s">
        <v>88</v>
      </c>
      <c r="D21" s="120" t="s">
        <v>180</v>
      </c>
      <c r="E21" s="121"/>
      <c r="F21" s="121"/>
      <c r="G21" s="121"/>
      <c r="H21" s="121"/>
      <c r="I21" s="121"/>
      <c r="J21" s="121"/>
      <c r="K21" s="121"/>
      <c r="L21" s="121"/>
      <c r="M21" s="122"/>
      <c r="N21" s="79"/>
    </row>
    <row r="22" spans="1:15" ht="27" customHeight="1">
      <c r="A22" s="79"/>
      <c r="B22" s="91"/>
      <c r="C22" s="95" t="s">
        <v>89</v>
      </c>
      <c r="D22" s="131" t="s">
        <v>181</v>
      </c>
      <c r="E22" s="132"/>
      <c r="F22" s="132"/>
      <c r="G22" s="132"/>
      <c r="H22" s="132"/>
      <c r="I22" s="132"/>
      <c r="J22" s="132"/>
      <c r="K22" s="132"/>
      <c r="L22" s="132"/>
      <c r="M22" s="133"/>
      <c r="N22" s="79"/>
    </row>
    <row r="23" spans="1:15">
      <c r="A23" s="79"/>
      <c r="B23" s="90"/>
      <c r="C23" s="99"/>
      <c r="D23" s="85"/>
      <c r="E23" s="82"/>
      <c r="F23" s="82"/>
      <c r="G23" s="82"/>
      <c r="H23" s="82"/>
      <c r="I23" s="82"/>
      <c r="J23" s="82"/>
      <c r="K23" s="82"/>
      <c r="L23" s="82"/>
      <c r="M23" s="82"/>
      <c r="N23" s="79"/>
    </row>
    <row r="24" spans="1:15" ht="182.25" customHeight="1">
      <c r="A24" s="79"/>
      <c r="B24" s="134" t="s">
        <v>171</v>
      </c>
      <c r="C24" s="134"/>
      <c r="D24" s="134"/>
      <c r="E24" s="134"/>
      <c r="F24" s="134"/>
      <c r="G24" s="134"/>
      <c r="H24" s="134"/>
      <c r="I24" s="134"/>
      <c r="J24" s="134"/>
      <c r="K24" s="134"/>
      <c r="L24" s="134"/>
      <c r="M24" s="134"/>
      <c r="N24" s="79"/>
    </row>
    <row r="25" spans="1:15">
      <c r="A25" s="79"/>
      <c r="B25" s="79"/>
      <c r="C25" s="79"/>
      <c r="D25" s="79"/>
      <c r="E25" s="79"/>
      <c r="F25" s="79"/>
      <c r="G25" s="79"/>
      <c r="H25" s="79"/>
      <c r="I25" s="79"/>
      <c r="J25" s="79"/>
      <c r="K25" s="79"/>
      <c r="L25" s="79"/>
      <c r="M25" s="79"/>
      <c r="N25" s="79"/>
    </row>
    <row r="26" spans="1:15">
      <c r="A26" s="79"/>
      <c r="B26" s="79"/>
      <c r="C26" s="79"/>
      <c r="D26" s="79"/>
      <c r="E26" s="79"/>
      <c r="F26" s="79"/>
      <c r="G26" s="79"/>
      <c r="H26" s="79"/>
      <c r="I26" s="79"/>
      <c r="J26" s="79"/>
      <c r="K26" s="79"/>
      <c r="L26" s="79"/>
      <c r="M26" s="79"/>
      <c r="N26" s="79"/>
    </row>
    <row r="27" spans="1:15">
      <c r="A27" s="79"/>
      <c r="B27" s="80" t="s">
        <v>54</v>
      </c>
      <c r="C27" s="79"/>
      <c r="D27" s="79"/>
      <c r="E27" s="79"/>
      <c r="F27" s="79"/>
      <c r="G27" s="79"/>
      <c r="H27" s="79"/>
      <c r="I27" s="79"/>
      <c r="J27" s="79"/>
      <c r="K27" s="79"/>
      <c r="L27" s="79"/>
      <c r="M27" s="79"/>
      <c r="N27" s="79"/>
    </row>
    <row r="28" spans="1:15" ht="63" customHeight="1">
      <c r="A28" s="79"/>
      <c r="B28" s="135" t="s">
        <v>151</v>
      </c>
      <c r="C28" s="135"/>
      <c r="D28" s="135"/>
      <c r="E28" s="135"/>
      <c r="F28" s="135"/>
      <c r="G28" s="135"/>
      <c r="H28" s="135"/>
      <c r="I28" s="135"/>
      <c r="J28" s="135"/>
      <c r="K28" s="135"/>
      <c r="L28" s="135"/>
      <c r="M28" s="135"/>
      <c r="N28" s="79"/>
    </row>
    <row r="29" spans="1:15">
      <c r="A29" s="79"/>
      <c r="B29" s="80" t="s">
        <v>55</v>
      </c>
      <c r="C29" s="79"/>
      <c r="D29" s="79"/>
      <c r="E29" s="79"/>
      <c r="F29" s="79"/>
      <c r="G29" s="79"/>
      <c r="H29" s="79"/>
      <c r="I29" s="79"/>
      <c r="J29" s="79"/>
      <c r="K29" s="79"/>
      <c r="L29" s="79"/>
      <c r="M29" s="81" t="s">
        <v>56</v>
      </c>
      <c r="N29" s="79"/>
    </row>
    <row r="30" spans="1:15">
      <c r="A30" s="79"/>
      <c r="B30" s="82" t="s">
        <v>57</v>
      </c>
      <c r="C30" s="79"/>
      <c r="D30" s="79"/>
      <c r="E30" s="79"/>
      <c r="F30" s="79"/>
      <c r="G30" s="79"/>
      <c r="H30" s="79"/>
      <c r="I30" s="79"/>
      <c r="J30" s="79"/>
      <c r="K30" s="79"/>
      <c r="L30" s="79"/>
      <c r="M30" s="81"/>
      <c r="N30" s="79"/>
    </row>
    <row r="31" spans="1:15">
      <c r="A31" s="79"/>
      <c r="B31" s="136" t="s">
        <v>58</v>
      </c>
      <c r="C31" s="137"/>
      <c r="D31" s="137"/>
      <c r="E31" s="137" t="s">
        <v>59</v>
      </c>
      <c r="F31" s="137"/>
      <c r="G31" s="138"/>
      <c r="H31" s="139" t="s">
        <v>58</v>
      </c>
      <c r="I31" s="137"/>
      <c r="J31" s="137"/>
      <c r="K31" s="137" t="s">
        <v>59</v>
      </c>
      <c r="L31" s="137"/>
      <c r="M31" s="140"/>
      <c r="N31" s="79"/>
    </row>
    <row r="32" spans="1:15">
      <c r="A32" s="79"/>
      <c r="B32" s="141" t="s">
        <v>60</v>
      </c>
      <c r="C32" s="142"/>
      <c r="D32" s="142"/>
      <c r="E32" s="142">
        <v>0</v>
      </c>
      <c r="F32" s="142"/>
      <c r="G32" s="143"/>
      <c r="H32" s="144" t="s">
        <v>61</v>
      </c>
      <c r="I32" s="142"/>
      <c r="J32" s="142"/>
      <c r="K32" s="145" t="s">
        <v>131</v>
      </c>
      <c r="L32" s="145"/>
      <c r="M32" s="146"/>
      <c r="N32" s="79"/>
    </row>
    <row r="33" spans="1:14">
      <c r="A33" s="79"/>
      <c r="B33" s="147" t="s">
        <v>62</v>
      </c>
      <c r="C33" s="148"/>
      <c r="D33" s="148"/>
      <c r="E33" s="148" t="s">
        <v>63</v>
      </c>
      <c r="F33" s="148"/>
      <c r="G33" s="149"/>
      <c r="H33" s="150" t="s">
        <v>64</v>
      </c>
      <c r="I33" s="148"/>
      <c r="J33" s="148"/>
      <c r="K33" s="151" t="s">
        <v>65</v>
      </c>
      <c r="L33" s="151"/>
      <c r="M33" s="152"/>
      <c r="N33" s="79"/>
    </row>
    <row r="34" spans="1:14">
      <c r="A34" s="79"/>
      <c r="B34" s="147" t="s">
        <v>66</v>
      </c>
      <c r="C34" s="148"/>
      <c r="D34" s="148"/>
      <c r="E34" s="151">
        <v>1069000</v>
      </c>
      <c r="F34" s="151"/>
      <c r="G34" s="153"/>
      <c r="H34" s="150" t="s">
        <v>67</v>
      </c>
      <c r="I34" s="148"/>
      <c r="J34" s="148"/>
      <c r="K34" s="151" t="s">
        <v>132</v>
      </c>
      <c r="L34" s="151"/>
      <c r="M34" s="152"/>
      <c r="N34" s="79"/>
    </row>
    <row r="35" spans="1:14">
      <c r="A35" s="79"/>
      <c r="B35" s="147" t="s">
        <v>68</v>
      </c>
      <c r="C35" s="148"/>
      <c r="D35" s="148"/>
      <c r="E35" s="151">
        <v>1070000</v>
      </c>
      <c r="F35" s="151"/>
      <c r="G35" s="153"/>
      <c r="H35" s="150" t="s">
        <v>69</v>
      </c>
      <c r="I35" s="148"/>
      <c r="J35" s="148"/>
      <c r="K35" s="151" t="s">
        <v>133</v>
      </c>
      <c r="L35" s="151"/>
      <c r="M35" s="152"/>
      <c r="N35" s="79"/>
    </row>
    <row r="36" spans="1:14">
      <c r="A36" s="79"/>
      <c r="B36" s="147" t="s">
        <v>70</v>
      </c>
      <c r="C36" s="148"/>
      <c r="D36" s="148"/>
      <c r="E36" s="151">
        <v>1072000</v>
      </c>
      <c r="F36" s="151"/>
      <c r="G36" s="153"/>
      <c r="H36" s="150" t="s">
        <v>71</v>
      </c>
      <c r="I36" s="148"/>
      <c r="J36" s="148"/>
      <c r="K36" s="151" t="s">
        <v>134</v>
      </c>
      <c r="L36" s="151"/>
      <c r="M36" s="152"/>
      <c r="N36" s="79"/>
    </row>
    <row r="37" spans="1:14">
      <c r="A37" s="79"/>
      <c r="B37" s="154" t="s">
        <v>72</v>
      </c>
      <c r="C37" s="155"/>
      <c r="D37" s="155"/>
      <c r="E37" s="156">
        <v>1074000</v>
      </c>
      <c r="F37" s="156"/>
      <c r="G37" s="157"/>
      <c r="H37" s="158"/>
      <c r="I37" s="159"/>
      <c r="J37" s="160"/>
      <c r="K37" s="161"/>
      <c r="L37" s="162"/>
      <c r="M37" s="163"/>
      <c r="N37" s="79"/>
    </row>
    <row r="38" spans="1:14">
      <c r="A38" s="79"/>
      <c r="B38" s="79" t="s">
        <v>73</v>
      </c>
      <c r="C38" s="79"/>
      <c r="D38" s="79"/>
      <c r="E38" s="79"/>
      <c r="F38" s="79"/>
      <c r="G38" s="79"/>
      <c r="H38" s="79"/>
      <c r="I38" s="79"/>
      <c r="J38" s="79"/>
      <c r="K38" s="79"/>
      <c r="L38" s="79"/>
      <c r="M38" s="79"/>
      <c r="N38" s="79"/>
    </row>
    <row r="39" spans="1:14" ht="42.75" customHeight="1" thickBot="1">
      <c r="A39" s="79"/>
      <c r="B39" s="135" t="s">
        <v>172</v>
      </c>
      <c r="C39" s="135"/>
      <c r="D39" s="135"/>
      <c r="E39" s="135"/>
      <c r="F39" s="135"/>
      <c r="G39" s="79"/>
      <c r="H39" s="79"/>
      <c r="I39" s="79"/>
      <c r="J39" s="79"/>
      <c r="K39" s="79"/>
      <c r="L39" s="79"/>
      <c r="M39" s="83" t="s">
        <v>74</v>
      </c>
      <c r="N39" s="79"/>
    </row>
    <row r="40" spans="1:14" ht="3.75" customHeight="1">
      <c r="A40" s="164"/>
      <c r="B40" s="165"/>
      <c r="C40" s="166"/>
      <c r="D40" s="167"/>
      <c r="E40" s="174" t="s">
        <v>75</v>
      </c>
      <c r="F40" s="175"/>
      <c r="G40" s="175"/>
      <c r="H40" s="175"/>
      <c r="I40" s="84"/>
      <c r="J40" s="84">
        <f>IF(B40&lt;=550999,0,"")</f>
        <v>0</v>
      </c>
      <c r="K40" s="176" t="str">
        <f>IF(B40="","",SUM(J40:J51))</f>
        <v/>
      </c>
      <c r="L40" s="177"/>
      <c r="M40" s="178"/>
      <c r="N40" s="79"/>
    </row>
    <row r="41" spans="1:14" ht="3.75" customHeight="1">
      <c r="A41" s="164"/>
      <c r="B41" s="168"/>
      <c r="C41" s="169"/>
      <c r="D41" s="170"/>
      <c r="E41" s="174"/>
      <c r="F41" s="175"/>
      <c r="G41" s="175"/>
      <c r="H41" s="175"/>
      <c r="I41" s="84"/>
      <c r="J41" s="84" t="str">
        <f>IF(AND(B40&gt;550999,B40&lt;=1618999),B40-550000,"")</f>
        <v/>
      </c>
      <c r="K41" s="179"/>
      <c r="L41" s="180"/>
      <c r="M41" s="181"/>
      <c r="N41" s="79"/>
    </row>
    <row r="42" spans="1:14" ht="3.75" customHeight="1">
      <c r="A42" s="164"/>
      <c r="B42" s="168"/>
      <c r="C42" s="169"/>
      <c r="D42" s="170"/>
      <c r="E42" s="174"/>
      <c r="F42" s="175"/>
      <c r="G42" s="175"/>
      <c r="H42" s="175"/>
      <c r="I42" s="84"/>
      <c r="J42" s="84" t="str">
        <f>IF(AND(B40&gt;1618999,B40&lt;=1619999),1069000,"")</f>
        <v/>
      </c>
      <c r="K42" s="179"/>
      <c r="L42" s="180"/>
      <c r="M42" s="181"/>
      <c r="N42" s="79"/>
    </row>
    <row r="43" spans="1:14" ht="3.75" customHeight="1">
      <c r="A43" s="164"/>
      <c r="B43" s="168"/>
      <c r="C43" s="169"/>
      <c r="D43" s="170"/>
      <c r="E43" s="174"/>
      <c r="F43" s="175"/>
      <c r="G43" s="175"/>
      <c r="H43" s="175"/>
      <c r="I43" s="84"/>
      <c r="J43" s="84" t="str">
        <f>IF(AND(B40&gt;1619999,B40&lt;=1621999),1070000,"")</f>
        <v/>
      </c>
      <c r="K43" s="179"/>
      <c r="L43" s="180"/>
      <c r="M43" s="181"/>
      <c r="N43" s="79"/>
    </row>
    <row r="44" spans="1:14" ht="3.75" customHeight="1">
      <c r="A44" s="164"/>
      <c r="B44" s="168"/>
      <c r="C44" s="169"/>
      <c r="D44" s="170"/>
      <c r="E44" s="174"/>
      <c r="F44" s="175"/>
      <c r="G44" s="175"/>
      <c r="H44" s="175"/>
      <c r="I44" s="84"/>
      <c r="J44" s="84" t="str">
        <f>IF(AND(B40&gt;1621999,B40&lt;=1623999),1072000,"")</f>
        <v/>
      </c>
      <c r="K44" s="179"/>
      <c r="L44" s="180"/>
      <c r="M44" s="181"/>
      <c r="N44" s="79"/>
    </row>
    <row r="45" spans="1:14" ht="3.75" customHeight="1">
      <c r="A45" s="164"/>
      <c r="B45" s="168"/>
      <c r="C45" s="169"/>
      <c r="D45" s="170"/>
      <c r="E45" s="174"/>
      <c r="F45" s="175"/>
      <c r="G45" s="175"/>
      <c r="H45" s="175"/>
      <c r="I45" s="84"/>
      <c r="J45" s="84" t="str">
        <f>IF(AND(B40&gt;1623999,B40&lt;=1627999),1074000,"")</f>
        <v/>
      </c>
      <c r="K45" s="179"/>
      <c r="L45" s="180"/>
      <c r="M45" s="181"/>
      <c r="N45" s="79"/>
    </row>
    <row r="46" spans="1:14" ht="3.75" customHeight="1">
      <c r="A46" s="164"/>
      <c r="B46" s="168"/>
      <c r="C46" s="169"/>
      <c r="D46" s="170"/>
      <c r="E46" s="174"/>
      <c r="F46" s="175"/>
      <c r="G46" s="175"/>
      <c r="H46" s="175"/>
      <c r="I46" s="84">
        <f>ROUNDDOWN(B40/4,-3)</f>
        <v>0</v>
      </c>
      <c r="J46" s="84" t="str">
        <f>IF(AND(B40&gt;1627999,B40&lt;=1799999),I46*2.4+100000,"")</f>
        <v/>
      </c>
      <c r="K46" s="179"/>
      <c r="L46" s="180"/>
      <c r="M46" s="181"/>
      <c r="N46" s="79"/>
    </row>
    <row r="47" spans="1:14" ht="3.75" customHeight="1">
      <c r="A47" s="164"/>
      <c r="B47" s="168"/>
      <c r="C47" s="169"/>
      <c r="D47" s="170"/>
      <c r="E47" s="174"/>
      <c r="F47" s="175"/>
      <c r="G47" s="175"/>
      <c r="H47" s="175"/>
      <c r="I47" s="84"/>
      <c r="J47" s="84" t="str">
        <f>IF(AND(B40&gt;1799999,B40&lt;=3599999),I46*2.8-80000,"")</f>
        <v/>
      </c>
      <c r="K47" s="179"/>
      <c r="L47" s="180"/>
      <c r="M47" s="181"/>
      <c r="N47" s="79"/>
    </row>
    <row r="48" spans="1:14" ht="3.75" customHeight="1">
      <c r="A48" s="164"/>
      <c r="B48" s="168"/>
      <c r="C48" s="169"/>
      <c r="D48" s="170"/>
      <c r="E48" s="174"/>
      <c r="F48" s="175"/>
      <c r="G48" s="175"/>
      <c r="H48" s="175"/>
      <c r="I48" s="84"/>
      <c r="J48" s="84" t="str">
        <f>IF(AND(B40&gt;3599999,B40&lt;=6599999),I46*3.2-440000,"")</f>
        <v/>
      </c>
      <c r="K48" s="179"/>
      <c r="L48" s="180"/>
      <c r="M48" s="181"/>
      <c r="N48" s="79"/>
    </row>
    <row r="49" spans="1:14" ht="3.75" customHeight="1">
      <c r="A49" s="164"/>
      <c r="B49" s="168"/>
      <c r="C49" s="169"/>
      <c r="D49" s="170"/>
      <c r="E49" s="174"/>
      <c r="F49" s="175"/>
      <c r="G49" s="175"/>
      <c r="H49" s="175"/>
      <c r="I49" s="84"/>
      <c r="J49" s="84" t="str">
        <f>IF(AND(B40&gt;6599999,B40&lt;=8499999),B40*0.9-1100000,"")</f>
        <v/>
      </c>
      <c r="K49" s="179"/>
      <c r="L49" s="180"/>
      <c r="M49" s="181"/>
      <c r="N49" s="79"/>
    </row>
    <row r="50" spans="1:14" ht="3.75" customHeight="1">
      <c r="A50" s="164"/>
      <c r="B50" s="168"/>
      <c r="C50" s="169"/>
      <c r="D50" s="170"/>
      <c r="E50" s="174"/>
      <c r="F50" s="175"/>
      <c r="G50" s="175"/>
      <c r="H50" s="175"/>
      <c r="I50" s="84"/>
      <c r="J50" s="84" t="str">
        <f>IF(B40&gt;8499999,B40-1950000,"")</f>
        <v/>
      </c>
      <c r="K50" s="179"/>
      <c r="L50" s="180"/>
      <c r="M50" s="181"/>
      <c r="N50" s="79"/>
    </row>
    <row r="51" spans="1:14" ht="3.75" customHeight="1" thickBot="1">
      <c r="A51" s="164"/>
      <c r="B51" s="171"/>
      <c r="C51" s="172"/>
      <c r="D51" s="173"/>
      <c r="E51" s="174"/>
      <c r="F51" s="175"/>
      <c r="G51" s="175"/>
      <c r="H51" s="175"/>
      <c r="I51" s="84"/>
      <c r="J51" s="84"/>
      <c r="K51" s="182"/>
      <c r="L51" s="183"/>
      <c r="M51" s="184"/>
      <c r="N51" s="79"/>
    </row>
    <row r="52" spans="1:14">
      <c r="A52" s="79"/>
      <c r="B52" s="79"/>
      <c r="C52" s="79"/>
      <c r="D52" s="79"/>
      <c r="E52" s="79"/>
      <c r="F52" s="79"/>
      <c r="G52" s="79"/>
      <c r="H52" s="79"/>
      <c r="I52" s="79"/>
      <c r="J52" s="79"/>
      <c r="K52" s="79"/>
      <c r="L52" s="79"/>
      <c r="M52" s="79"/>
      <c r="N52" s="79"/>
    </row>
    <row r="53" spans="1:14">
      <c r="A53" s="79"/>
      <c r="B53" s="80" t="s">
        <v>76</v>
      </c>
      <c r="C53" s="79"/>
      <c r="D53" s="79"/>
      <c r="E53" s="79"/>
      <c r="F53" s="79"/>
      <c r="G53" s="79"/>
      <c r="H53" s="79"/>
      <c r="I53" s="79"/>
      <c r="J53" s="79"/>
      <c r="K53" s="79"/>
      <c r="L53" s="79"/>
      <c r="M53" s="81" t="s">
        <v>56</v>
      </c>
      <c r="N53" s="79"/>
    </row>
    <row r="54" spans="1:14">
      <c r="A54" s="79"/>
      <c r="B54" s="82" t="s">
        <v>152</v>
      </c>
      <c r="C54" s="79"/>
      <c r="D54" s="79"/>
      <c r="E54" s="79"/>
      <c r="F54" s="79"/>
      <c r="G54" s="79"/>
      <c r="H54" s="79"/>
      <c r="I54" s="79"/>
      <c r="J54" s="79"/>
      <c r="K54" s="79"/>
      <c r="L54" s="79"/>
      <c r="M54" s="81"/>
      <c r="N54" s="79"/>
    </row>
    <row r="55" spans="1:14">
      <c r="A55" s="79"/>
      <c r="B55" s="191" t="s">
        <v>173</v>
      </c>
      <c r="C55" s="192"/>
      <c r="D55" s="192"/>
      <c r="E55" s="192"/>
      <c r="F55" s="192"/>
      <c r="G55" s="193"/>
      <c r="H55" s="194" t="s">
        <v>174</v>
      </c>
      <c r="I55" s="192"/>
      <c r="J55" s="192"/>
      <c r="K55" s="192"/>
      <c r="L55" s="192"/>
      <c r="M55" s="195"/>
      <c r="N55" s="79"/>
    </row>
    <row r="56" spans="1:14">
      <c r="A56" s="79"/>
      <c r="B56" s="141" t="s">
        <v>77</v>
      </c>
      <c r="C56" s="142"/>
      <c r="D56" s="142"/>
      <c r="E56" s="142" t="s">
        <v>153</v>
      </c>
      <c r="F56" s="142"/>
      <c r="G56" s="143"/>
      <c r="H56" s="185" t="s">
        <v>78</v>
      </c>
      <c r="I56" s="186"/>
      <c r="J56" s="187"/>
      <c r="K56" s="188" t="s">
        <v>153</v>
      </c>
      <c r="L56" s="189"/>
      <c r="M56" s="190"/>
      <c r="N56" s="79"/>
    </row>
    <row r="57" spans="1:14">
      <c r="A57" s="79"/>
      <c r="B57" s="147" t="s">
        <v>79</v>
      </c>
      <c r="C57" s="148"/>
      <c r="D57" s="148"/>
      <c r="E57" s="148" t="s">
        <v>80</v>
      </c>
      <c r="F57" s="148"/>
      <c r="G57" s="149"/>
      <c r="H57" s="150" t="s">
        <v>81</v>
      </c>
      <c r="I57" s="148"/>
      <c r="J57" s="148"/>
      <c r="K57" s="151" t="s">
        <v>135</v>
      </c>
      <c r="L57" s="151"/>
      <c r="M57" s="152"/>
      <c r="N57" s="79"/>
    </row>
    <row r="58" spans="1:14">
      <c r="A58" s="79"/>
      <c r="B58" s="147" t="s">
        <v>82</v>
      </c>
      <c r="C58" s="148"/>
      <c r="D58" s="148"/>
      <c r="E58" s="151" t="s">
        <v>136</v>
      </c>
      <c r="F58" s="151"/>
      <c r="G58" s="153"/>
      <c r="H58" s="150" t="s">
        <v>83</v>
      </c>
      <c r="I58" s="148"/>
      <c r="J58" s="148"/>
      <c r="K58" s="151" t="s">
        <v>137</v>
      </c>
      <c r="L58" s="151"/>
      <c r="M58" s="152"/>
      <c r="N58" s="79"/>
    </row>
    <row r="59" spans="1:14">
      <c r="A59" s="79"/>
      <c r="B59" s="147" t="s">
        <v>84</v>
      </c>
      <c r="C59" s="148"/>
      <c r="D59" s="148"/>
      <c r="E59" s="151" t="s">
        <v>138</v>
      </c>
      <c r="F59" s="151"/>
      <c r="G59" s="153"/>
      <c r="H59" s="150" t="s">
        <v>84</v>
      </c>
      <c r="I59" s="148"/>
      <c r="J59" s="148"/>
      <c r="K59" s="151" t="s">
        <v>139</v>
      </c>
      <c r="L59" s="151"/>
      <c r="M59" s="152"/>
      <c r="N59" s="79"/>
    </row>
    <row r="60" spans="1:14">
      <c r="A60" s="79"/>
      <c r="B60" s="147" t="s">
        <v>85</v>
      </c>
      <c r="C60" s="148"/>
      <c r="D60" s="148"/>
      <c r="E60" s="151" t="s">
        <v>140</v>
      </c>
      <c r="F60" s="151"/>
      <c r="G60" s="153"/>
      <c r="H60" s="150" t="s">
        <v>85</v>
      </c>
      <c r="I60" s="148"/>
      <c r="J60" s="148"/>
      <c r="K60" s="151" t="s">
        <v>141</v>
      </c>
      <c r="L60" s="151"/>
      <c r="M60" s="152"/>
      <c r="N60" s="79"/>
    </row>
    <row r="61" spans="1:14">
      <c r="A61" s="79"/>
      <c r="B61" s="205" t="s">
        <v>86</v>
      </c>
      <c r="C61" s="206"/>
      <c r="D61" s="206"/>
      <c r="E61" s="207" t="s">
        <v>142</v>
      </c>
      <c r="F61" s="207"/>
      <c r="G61" s="208"/>
      <c r="H61" s="209" t="s">
        <v>86</v>
      </c>
      <c r="I61" s="206"/>
      <c r="J61" s="206"/>
      <c r="K61" s="207" t="s">
        <v>143</v>
      </c>
      <c r="L61" s="207"/>
      <c r="M61" s="210"/>
      <c r="N61" s="79"/>
    </row>
    <row r="62" spans="1:14" ht="19.2" customHeight="1" thickBot="1">
      <c r="A62" s="79"/>
      <c r="B62" s="79"/>
      <c r="C62" s="79"/>
      <c r="D62" s="79"/>
      <c r="E62" s="79"/>
      <c r="F62" s="79"/>
      <c r="G62" s="79"/>
      <c r="H62" s="79"/>
      <c r="I62" s="79"/>
      <c r="J62" s="79"/>
      <c r="K62" s="79"/>
      <c r="L62" s="79"/>
      <c r="M62" s="79"/>
      <c r="N62" s="79"/>
    </row>
    <row r="63" spans="1:14" ht="18.600000000000001" thickBot="1">
      <c r="A63" s="79"/>
      <c r="B63" s="96"/>
      <c r="C63" s="80" t="s">
        <v>175</v>
      </c>
      <c r="D63" s="79"/>
      <c r="E63" s="79"/>
      <c r="F63" s="79"/>
      <c r="G63" s="79"/>
      <c r="H63" s="79"/>
      <c r="I63" s="79"/>
      <c r="J63" s="79"/>
      <c r="K63" s="79"/>
      <c r="L63" s="79"/>
      <c r="M63" s="79"/>
      <c r="N63" s="79"/>
    </row>
    <row r="64" spans="1:14" ht="39.75" customHeight="1" thickBot="1">
      <c r="A64" s="79"/>
      <c r="B64" s="135" t="s">
        <v>176</v>
      </c>
      <c r="C64" s="135"/>
      <c r="D64" s="135"/>
      <c r="E64" s="135"/>
      <c r="F64" s="135"/>
      <c r="G64" s="79"/>
      <c r="H64" s="79"/>
      <c r="I64" s="79"/>
      <c r="J64" s="79"/>
      <c r="K64" s="79"/>
      <c r="L64" s="79"/>
      <c r="M64" s="83" t="s">
        <v>154</v>
      </c>
      <c r="N64" s="79"/>
    </row>
    <row r="65" spans="1:14" ht="9.75" customHeight="1">
      <c r="A65" s="79"/>
      <c r="B65" s="165"/>
      <c r="C65" s="166"/>
      <c r="D65" s="167"/>
      <c r="E65" s="174" t="s">
        <v>75</v>
      </c>
      <c r="F65" s="175"/>
      <c r="G65" s="175"/>
      <c r="H65" s="175"/>
      <c r="I65" s="84" t="str">
        <f>IF(AND(B63&lt;=64,B65&gt;600000,B65&lt;=1299999),B65-600000,"")</f>
        <v/>
      </c>
      <c r="J65" s="84" t="str">
        <f>IF(AND(B63&gt;64,B65&gt;1100000,B65&lt;=3299999),B65-1100000,"")</f>
        <v/>
      </c>
      <c r="K65" s="196" t="str">
        <f>IF(OR(B63="",B65=""),"",SUM(I65:J70))</f>
        <v/>
      </c>
      <c r="L65" s="197"/>
      <c r="M65" s="198"/>
      <c r="N65" s="79"/>
    </row>
    <row r="66" spans="1:14" ht="9.75" customHeight="1">
      <c r="A66" s="79"/>
      <c r="B66" s="168"/>
      <c r="C66" s="169"/>
      <c r="D66" s="170"/>
      <c r="E66" s="174"/>
      <c r="F66" s="175"/>
      <c r="G66" s="175"/>
      <c r="H66" s="175"/>
      <c r="I66" s="84" t="str">
        <f>IF(AND(B63&lt;=64,B65&gt;1299999,B65&lt;=4099999),B65*0.75-275000,"")</f>
        <v/>
      </c>
      <c r="J66" s="84" t="str">
        <f>IF(AND(B63&gt;64,B65&gt;3299999,B65&lt;=4099999),B65*0.75-275000,"")</f>
        <v/>
      </c>
      <c r="K66" s="199"/>
      <c r="L66" s="200"/>
      <c r="M66" s="201"/>
      <c r="N66" s="79"/>
    </row>
    <row r="67" spans="1:14" ht="9.75" customHeight="1">
      <c r="A67" s="79"/>
      <c r="B67" s="168"/>
      <c r="C67" s="169"/>
      <c r="D67" s="170"/>
      <c r="E67" s="174"/>
      <c r="F67" s="175"/>
      <c r="G67" s="175"/>
      <c r="H67" s="175"/>
      <c r="I67" s="84" t="str">
        <f>IF(AND(B63&lt;=64,B65&gt;4099999,B65&lt;=7699999),B65*0.85-685000,"")</f>
        <v/>
      </c>
      <c r="J67" s="84" t="str">
        <f>IF(AND(B63&gt;64,B65&gt;4099999,B65&lt;=7699999),B65*0.85-685000,"")</f>
        <v/>
      </c>
      <c r="K67" s="199"/>
      <c r="L67" s="200"/>
      <c r="M67" s="201"/>
      <c r="N67" s="79"/>
    </row>
    <row r="68" spans="1:14" ht="9.75" customHeight="1">
      <c r="A68" s="79"/>
      <c r="B68" s="168"/>
      <c r="C68" s="169"/>
      <c r="D68" s="170"/>
      <c r="E68" s="174"/>
      <c r="F68" s="175"/>
      <c r="G68" s="175"/>
      <c r="H68" s="175"/>
      <c r="I68" s="84" t="str">
        <f>IF(AND(B63&lt;=64,B65&gt;7699999,B65&lt;=9999999),B65*0.95-1455000,"")</f>
        <v/>
      </c>
      <c r="J68" s="84" t="str">
        <f>IF(AND(B63&gt;64,B65&gt;7699999,B65&lt;=9999999),B65*0.95-1455000,"")</f>
        <v/>
      </c>
      <c r="K68" s="199"/>
      <c r="L68" s="200"/>
      <c r="M68" s="201"/>
      <c r="N68" s="79"/>
    </row>
    <row r="69" spans="1:14" ht="9.75" customHeight="1" thickBot="1">
      <c r="A69" s="79"/>
      <c r="B69" s="171"/>
      <c r="C69" s="172"/>
      <c r="D69" s="173"/>
      <c r="E69" s="174"/>
      <c r="F69" s="175"/>
      <c r="G69" s="175"/>
      <c r="H69" s="175"/>
      <c r="I69" s="84" t="str">
        <f>IF(AND(B63&lt;=64,B65&gt;9999999),B65-1955000,"")</f>
        <v/>
      </c>
      <c r="J69" s="84" t="str">
        <f>IF(AND(B63&gt;64,B65&gt;9999999),B65-1955000,"")</f>
        <v/>
      </c>
      <c r="K69" s="202"/>
      <c r="L69" s="203"/>
      <c r="M69" s="204"/>
      <c r="N69" s="79"/>
    </row>
    <row r="70" spans="1:14">
      <c r="A70" s="79"/>
      <c r="B70" s="79"/>
      <c r="C70" s="79"/>
      <c r="D70" s="79"/>
      <c r="E70" s="79"/>
      <c r="F70" s="79"/>
      <c r="G70" s="79"/>
      <c r="H70" s="79"/>
      <c r="I70" s="97">
        <f>IF(AND(B63&lt;=64,B65&lt;=600000),0,"")</f>
        <v>0</v>
      </c>
      <c r="J70" s="97" t="str">
        <f>IF(AND(B63&gt;64,B65&lt;=1100000),0,"")</f>
        <v/>
      </c>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83" t="s">
        <v>166</v>
      </c>
      <c r="N73" s="79"/>
    </row>
  </sheetData>
  <sheetProtection sheet="1" selectLockedCells="1"/>
  <mergeCells count="72">
    <mergeCell ref="B65:D69"/>
    <mergeCell ref="E65:H69"/>
    <mergeCell ref="K65:M69"/>
    <mergeCell ref="B60:D60"/>
    <mergeCell ref="E60:G60"/>
    <mergeCell ref="H60:J60"/>
    <mergeCell ref="K60:M60"/>
    <mergeCell ref="B61:D61"/>
    <mergeCell ref="E61:G61"/>
    <mergeCell ref="H61:J61"/>
    <mergeCell ref="K61:M61"/>
    <mergeCell ref="B59:D59"/>
    <mergeCell ref="E59:G59"/>
    <mergeCell ref="H59:J59"/>
    <mergeCell ref="K59:M59"/>
    <mergeCell ref="B64:F64"/>
    <mergeCell ref="B57:D57"/>
    <mergeCell ref="E57:G57"/>
    <mergeCell ref="H57:J57"/>
    <mergeCell ref="K57:M57"/>
    <mergeCell ref="B58:D58"/>
    <mergeCell ref="E58:G58"/>
    <mergeCell ref="H58:J58"/>
    <mergeCell ref="K58:M58"/>
    <mergeCell ref="B56:D56"/>
    <mergeCell ref="E56:G56"/>
    <mergeCell ref="H56:J56"/>
    <mergeCell ref="K56:M56"/>
    <mergeCell ref="B55:G55"/>
    <mergeCell ref="H55:M55"/>
    <mergeCell ref="A40:A51"/>
    <mergeCell ref="B40:D51"/>
    <mergeCell ref="E40:H51"/>
    <mergeCell ref="K40:M51"/>
    <mergeCell ref="B39:F39"/>
    <mergeCell ref="B34:D34"/>
    <mergeCell ref="E34:G34"/>
    <mergeCell ref="H34:J34"/>
    <mergeCell ref="K34:M34"/>
    <mergeCell ref="B35:D35"/>
    <mergeCell ref="E35:G35"/>
    <mergeCell ref="H35:J35"/>
    <mergeCell ref="K35:M35"/>
    <mergeCell ref="B36:D36"/>
    <mergeCell ref="E36:G36"/>
    <mergeCell ref="H36:J36"/>
    <mergeCell ref="K36:M36"/>
    <mergeCell ref="B37:D37"/>
    <mergeCell ref="E37:G37"/>
    <mergeCell ref="H37:J37"/>
    <mergeCell ref="K37:M37"/>
    <mergeCell ref="B32:D32"/>
    <mergeCell ref="E32:G32"/>
    <mergeCell ref="H32:J32"/>
    <mergeCell ref="K32:M32"/>
    <mergeCell ref="B33:D33"/>
    <mergeCell ref="E33:G33"/>
    <mergeCell ref="H33:J33"/>
    <mergeCell ref="K33:M33"/>
    <mergeCell ref="D22:M22"/>
    <mergeCell ref="B24:M24"/>
    <mergeCell ref="B28:M28"/>
    <mergeCell ref="B31:D31"/>
    <mergeCell ref="E31:G31"/>
    <mergeCell ref="H31:J31"/>
    <mergeCell ref="K31:M31"/>
    <mergeCell ref="D21:M21"/>
    <mergeCell ref="A2:N2"/>
    <mergeCell ref="B14:N14"/>
    <mergeCell ref="B18:O18"/>
    <mergeCell ref="D19:M19"/>
    <mergeCell ref="D20:M20"/>
  </mergeCells>
  <phoneticPr fontId="2"/>
  <conditionalFormatting sqref="B10:B13">
    <cfRule type="duplicateValues" dxfId="0" priority="1"/>
  </conditionalFormatting>
  <pageMargins left="0.25" right="0.25" top="0.75" bottom="0.75" header="0.3" footer="0.3"/>
  <pageSetup paperSize="9" scale="75" fitToHeight="0" orientation="portrait" r:id="rId1"/>
  <rowBreaks count="1" manualBreakCount="1">
    <brk id="25" max="1638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AA6E-F57F-432F-920B-7C2A63B4281E}">
  <dimension ref="A1:T20"/>
  <sheetViews>
    <sheetView view="pageBreakPreview" topLeftCell="A5" zoomScaleNormal="100" zoomScaleSheetLayoutView="100" workbookViewId="0">
      <selection activeCell="H13" sqref="H13:I13"/>
    </sheetView>
  </sheetViews>
  <sheetFormatPr defaultColWidth="9" defaultRowHeight="13.2"/>
  <cols>
    <col min="1" max="1" width="19.5" style="2" customWidth="1"/>
    <col min="2" max="2" width="7.8984375" style="2" customWidth="1"/>
    <col min="3" max="3" width="6" style="2" customWidth="1"/>
    <col min="4" max="5" width="4.69921875" style="2" customWidth="1"/>
    <col min="6" max="6" width="6.09765625" style="2" customWidth="1"/>
    <col min="7" max="7" width="7.59765625" style="2" customWidth="1"/>
    <col min="8" max="8" width="3.59765625" style="2" customWidth="1"/>
    <col min="9" max="9" width="3.19921875" style="2" customWidth="1"/>
    <col min="10" max="10" width="4.3984375" style="2" customWidth="1"/>
    <col min="11" max="11" width="7.8984375" style="2" customWidth="1"/>
    <col min="12" max="12" width="8.09765625" style="2" customWidth="1"/>
    <col min="13" max="13" width="5.69921875" style="2" bestFit="1" customWidth="1"/>
    <col min="14" max="14" width="6.69921875" style="2" customWidth="1"/>
    <col min="15" max="15" width="7" style="2" customWidth="1"/>
    <col min="16" max="16" width="7.19921875" style="2" customWidth="1"/>
    <col min="17" max="17" width="7.69921875" style="2" customWidth="1"/>
    <col min="18" max="16384" width="9" style="2"/>
  </cols>
  <sheetData>
    <row r="1" spans="1:20" ht="78" customHeight="1">
      <c r="A1" s="236" t="s">
        <v>146</v>
      </c>
      <c r="B1" s="236"/>
      <c r="C1" s="236"/>
      <c r="D1" s="236"/>
      <c r="E1" s="236"/>
      <c r="F1" s="236"/>
      <c r="G1" s="236"/>
      <c r="H1" s="236"/>
      <c r="I1" s="236"/>
      <c r="J1" s="236"/>
      <c r="K1" s="236"/>
      <c r="L1" s="236"/>
      <c r="M1" s="236"/>
      <c r="N1" s="236"/>
      <c r="O1" s="236"/>
      <c r="P1" s="236"/>
      <c r="Q1" s="236"/>
    </row>
    <row r="2" spans="1:20" s="101" customFormat="1" ht="22.5" customHeight="1">
      <c r="A2" s="100"/>
      <c r="B2" s="100"/>
      <c r="C2" s="100"/>
      <c r="D2" s="100"/>
      <c r="E2" s="100"/>
      <c r="F2" s="100"/>
      <c r="G2" s="100"/>
      <c r="H2" s="100"/>
      <c r="I2" s="100"/>
      <c r="J2" s="100"/>
      <c r="K2" s="100"/>
      <c r="L2" s="100"/>
      <c r="M2" s="100"/>
      <c r="N2" s="100"/>
      <c r="O2" s="100"/>
      <c r="P2" s="100"/>
      <c r="Q2" s="100"/>
    </row>
    <row r="3" spans="1:20" ht="18.75" customHeight="1">
      <c r="A3" s="235" t="s">
        <v>177</v>
      </c>
      <c r="B3" s="235"/>
      <c r="C3" s="235"/>
      <c r="D3" s="235"/>
      <c r="E3" s="235"/>
      <c r="F3" s="235"/>
      <c r="G3" s="235"/>
      <c r="H3" s="235"/>
      <c r="I3" s="235"/>
      <c r="J3" s="235"/>
      <c r="K3" s="235"/>
      <c r="L3" s="235"/>
      <c r="M3" s="235"/>
      <c r="N3" s="235"/>
      <c r="O3" s="235"/>
      <c r="P3" s="235"/>
      <c r="Q3" s="235"/>
    </row>
    <row r="5" spans="1:20" ht="18.75" customHeight="1">
      <c r="C5" s="223" t="s">
        <v>10</v>
      </c>
      <c r="D5" s="224"/>
      <c r="E5" s="224"/>
      <c r="F5" s="225"/>
      <c r="G5" s="243"/>
      <c r="H5" s="244"/>
      <c r="I5" s="3"/>
      <c r="L5" s="211" t="s">
        <v>2</v>
      </c>
      <c r="M5" s="212"/>
      <c r="N5" s="212"/>
      <c r="O5" s="213"/>
      <c r="P5" s="6"/>
    </row>
    <row r="6" spans="1:20" ht="36" customHeight="1">
      <c r="C6" s="226"/>
      <c r="D6" s="227"/>
      <c r="E6" s="227"/>
      <c r="F6" s="228"/>
      <c r="G6" s="245"/>
      <c r="H6" s="246"/>
      <c r="I6" s="3"/>
      <c r="L6" s="214" t="str">
        <f>IF(G5="","",IF(F20="○",計算式!M59,計算式!Q59))</f>
        <v/>
      </c>
      <c r="M6" s="215"/>
      <c r="N6" s="215"/>
      <c r="O6" s="75" t="s">
        <v>1</v>
      </c>
      <c r="P6" s="6"/>
    </row>
    <row r="7" spans="1:20" ht="21.75" customHeight="1">
      <c r="C7" s="223" t="s">
        <v>0</v>
      </c>
      <c r="D7" s="229"/>
      <c r="E7" s="229"/>
      <c r="F7" s="230"/>
      <c r="G7" s="243"/>
      <c r="H7" s="244"/>
      <c r="I7" s="3"/>
      <c r="L7" s="211" t="s">
        <v>3</v>
      </c>
      <c r="M7" s="212"/>
      <c r="N7" s="212"/>
      <c r="O7" s="213"/>
      <c r="P7" s="6"/>
      <c r="T7" s="70"/>
    </row>
    <row r="8" spans="1:20" ht="34.5" customHeight="1">
      <c r="C8" s="231"/>
      <c r="D8" s="232"/>
      <c r="E8" s="232"/>
      <c r="F8" s="233"/>
      <c r="G8" s="245"/>
      <c r="H8" s="246"/>
      <c r="I8" s="3"/>
      <c r="L8" s="76"/>
      <c r="M8" s="77" t="str">
        <f>IF(G5="","",IF(C20="○",7,IF(D20="○",5,IF(E20="○",2,IF(F20="○","")))))</f>
        <v/>
      </c>
      <c r="N8" s="78" t="str">
        <f>IF(F20="○","無し","　")</f>
        <v>　</v>
      </c>
      <c r="O8" s="74"/>
      <c r="P8" s="6"/>
      <c r="R8" s="70"/>
    </row>
    <row r="10" spans="1:20" ht="36.75" customHeight="1">
      <c r="B10" s="7"/>
      <c r="C10" s="234" t="s">
        <v>178</v>
      </c>
      <c r="D10" s="234"/>
      <c r="E10" s="234"/>
      <c r="F10" s="234"/>
      <c r="G10" s="234"/>
      <c r="H10" s="217" t="s">
        <v>4</v>
      </c>
      <c r="I10" s="217"/>
      <c r="J10" s="217"/>
      <c r="K10" s="8" t="s">
        <v>6</v>
      </c>
      <c r="L10" s="8" t="s">
        <v>5</v>
      </c>
      <c r="M10" s="234" t="s">
        <v>147</v>
      </c>
      <c r="N10" s="234"/>
      <c r="O10" s="234"/>
      <c r="P10" s="217"/>
    </row>
    <row r="11" spans="1:20" ht="24.75" customHeight="1">
      <c r="B11" s="4" t="str">
        <f>IF(G5&gt;0,"１人目","")</f>
        <v/>
      </c>
      <c r="C11" s="220"/>
      <c r="D11" s="221"/>
      <c r="E11" s="221"/>
      <c r="F11" s="222"/>
      <c r="G11" s="69" t="str">
        <f>IF(G5&gt;0,"円","")</f>
        <v/>
      </c>
      <c r="H11" s="216"/>
      <c r="I11" s="216"/>
      <c r="J11" s="4" t="str">
        <f>IF(G5&gt;0,"歳","")</f>
        <v/>
      </c>
      <c r="K11" s="4" t="str">
        <f t="shared" ref="K11:K17" si="0">IF(AND(65&gt;H11,H11&gt;39),"○","")</f>
        <v/>
      </c>
      <c r="L11" s="4" t="str">
        <f>IF(AND(6&gt;H11,H11&gt;0),"○","")</f>
        <v/>
      </c>
      <c r="M11" s="237" t="str">
        <f>IF(C11-430000&gt;0,C11-430000,"")</f>
        <v/>
      </c>
      <c r="N11" s="238"/>
      <c r="O11" s="239"/>
      <c r="P11" s="69" t="str">
        <f>IF(G5&gt;0,"円","")</f>
        <v/>
      </c>
      <c r="Q11" s="72" t="str">
        <f>IF(AND(65&gt;H11,H11&gt;39),M11,"")</f>
        <v/>
      </c>
    </row>
    <row r="12" spans="1:20" ht="24.75" customHeight="1">
      <c r="B12" s="4" t="str">
        <f>IF(G5&gt;1,"２人目","")</f>
        <v/>
      </c>
      <c r="C12" s="220"/>
      <c r="D12" s="221"/>
      <c r="E12" s="221"/>
      <c r="F12" s="222"/>
      <c r="G12" s="69" t="str">
        <f>IF(G5&gt;1,"円","")</f>
        <v/>
      </c>
      <c r="H12" s="216"/>
      <c r="I12" s="216"/>
      <c r="J12" s="4" t="str">
        <f>IF(G5&gt;1,"歳","")</f>
        <v/>
      </c>
      <c r="K12" s="4" t="str">
        <f t="shared" si="0"/>
        <v/>
      </c>
      <c r="L12" s="4" t="str">
        <f t="shared" ref="L12:L17" si="1">IF(AND(6&gt;H12,H12&gt;0),"○","")</f>
        <v/>
      </c>
      <c r="M12" s="237" t="str">
        <f t="shared" ref="M12:M17" si="2">IF(C12-430000&gt;0,C12-430000,"")</f>
        <v/>
      </c>
      <c r="N12" s="238"/>
      <c r="O12" s="239"/>
      <c r="P12" s="69" t="str">
        <f>IF(G5&gt;1,"円","")</f>
        <v/>
      </c>
      <c r="Q12" s="72" t="str">
        <f t="shared" ref="Q12:Q17" si="3">IF(AND(65&gt;H12,H12&gt;39),M12,"")</f>
        <v/>
      </c>
    </row>
    <row r="13" spans="1:20" ht="24.75" customHeight="1">
      <c r="B13" s="4" t="str">
        <f>IF(G5&gt;2,"３人目","")</f>
        <v/>
      </c>
      <c r="C13" s="220"/>
      <c r="D13" s="221"/>
      <c r="E13" s="221"/>
      <c r="F13" s="222"/>
      <c r="G13" s="69" t="str">
        <f>IF(G5&gt;2,"円","")</f>
        <v/>
      </c>
      <c r="H13" s="216"/>
      <c r="I13" s="216"/>
      <c r="J13" s="4" t="str">
        <f>IF(G5&gt;2,"歳","")</f>
        <v/>
      </c>
      <c r="K13" s="4" t="str">
        <f t="shared" si="0"/>
        <v/>
      </c>
      <c r="L13" s="4" t="str">
        <f t="shared" si="1"/>
        <v/>
      </c>
      <c r="M13" s="237" t="str">
        <f t="shared" si="2"/>
        <v/>
      </c>
      <c r="N13" s="238"/>
      <c r="O13" s="239"/>
      <c r="P13" s="69" t="str">
        <f>IF(G5&gt;2,"円","")</f>
        <v/>
      </c>
      <c r="Q13" s="72" t="str">
        <f t="shared" si="3"/>
        <v/>
      </c>
    </row>
    <row r="14" spans="1:20" ht="24.75" customHeight="1">
      <c r="B14" s="4" t="str">
        <f>IF(G5&gt;3,"４人目","")</f>
        <v/>
      </c>
      <c r="C14" s="220"/>
      <c r="D14" s="221"/>
      <c r="E14" s="221"/>
      <c r="F14" s="222"/>
      <c r="G14" s="69" t="str">
        <f>IF(G5&gt;3,"円","")</f>
        <v/>
      </c>
      <c r="H14" s="216"/>
      <c r="I14" s="216"/>
      <c r="J14" s="4" t="str">
        <f>IF(G5&gt;3,"歳","")</f>
        <v/>
      </c>
      <c r="K14" s="4" t="str">
        <f t="shared" si="0"/>
        <v/>
      </c>
      <c r="L14" s="4" t="str">
        <f t="shared" si="1"/>
        <v/>
      </c>
      <c r="M14" s="237" t="str">
        <f t="shared" si="2"/>
        <v/>
      </c>
      <c r="N14" s="238"/>
      <c r="O14" s="239"/>
      <c r="P14" s="69" t="str">
        <f>IF(G5&gt;3,"円","")</f>
        <v/>
      </c>
      <c r="Q14" s="72" t="str">
        <f t="shared" si="3"/>
        <v/>
      </c>
    </row>
    <row r="15" spans="1:20" ht="24.75" customHeight="1">
      <c r="B15" s="4" t="str">
        <f>IF(G5&gt;4,"５人目","")</f>
        <v/>
      </c>
      <c r="C15" s="220"/>
      <c r="D15" s="221"/>
      <c r="E15" s="221"/>
      <c r="F15" s="222"/>
      <c r="G15" s="69" t="str">
        <f>IF(G5&gt;4,"円","")</f>
        <v/>
      </c>
      <c r="H15" s="216"/>
      <c r="I15" s="216"/>
      <c r="J15" s="4" t="str">
        <f>IF(G5&gt;4,"歳","")</f>
        <v/>
      </c>
      <c r="K15" s="4" t="str">
        <f t="shared" si="0"/>
        <v/>
      </c>
      <c r="L15" s="4" t="str">
        <f t="shared" si="1"/>
        <v/>
      </c>
      <c r="M15" s="237" t="str">
        <f t="shared" si="2"/>
        <v/>
      </c>
      <c r="N15" s="238"/>
      <c r="O15" s="239"/>
      <c r="P15" s="69" t="str">
        <f>IF(G5&gt;4,"円","")</f>
        <v/>
      </c>
      <c r="Q15" s="72" t="str">
        <f t="shared" si="3"/>
        <v/>
      </c>
    </row>
    <row r="16" spans="1:20" ht="24.75" customHeight="1">
      <c r="B16" s="4" t="str">
        <f>IF(G5&gt;5,"６人目","")</f>
        <v/>
      </c>
      <c r="C16" s="220"/>
      <c r="D16" s="221"/>
      <c r="E16" s="221"/>
      <c r="F16" s="222"/>
      <c r="G16" s="69" t="str">
        <f>IF(G5&gt;5,"円","")</f>
        <v/>
      </c>
      <c r="H16" s="216"/>
      <c r="I16" s="216"/>
      <c r="J16" s="4" t="str">
        <f>IF(G5&gt;5,"歳","")</f>
        <v/>
      </c>
      <c r="K16" s="4" t="str">
        <f t="shared" si="0"/>
        <v/>
      </c>
      <c r="L16" s="4" t="str">
        <f t="shared" si="1"/>
        <v/>
      </c>
      <c r="M16" s="237" t="str">
        <f t="shared" si="2"/>
        <v/>
      </c>
      <c r="N16" s="238"/>
      <c r="O16" s="239"/>
      <c r="P16" s="69" t="str">
        <f>IF(G5&gt;5,"円","")</f>
        <v/>
      </c>
      <c r="Q16" s="72" t="str">
        <f t="shared" si="3"/>
        <v/>
      </c>
    </row>
    <row r="17" spans="2:19" ht="24.75" customHeight="1">
      <c r="B17" s="4" t="str">
        <f>IF(G5&gt;6,"７人目","")</f>
        <v/>
      </c>
      <c r="C17" s="220"/>
      <c r="D17" s="221"/>
      <c r="E17" s="221"/>
      <c r="F17" s="222"/>
      <c r="G17" s="69" t="str">
        <f>IF(G5&gt;6,"円","")</f>
        <v/>
      </c>
      <c r="H17" s="216"/>
      <c r="I17" s="216"/>
      <c r="J17" s="4" t="str">
        <f>IF(G5&gt;6,"歳","")</f>
        <v/>
      </c>
      <c r="K17" s="4" t="str">
        <f t="shared" si="0"/>
        <v/>
      </c>
      <c r="L17" s="4" t="str">
        <f t="shared" si="1"/>
        <v/>
      </c>
      <c r="M17" s="237" t="str">
        <f t="shared" si="2"/>
        <v/>
      </c>
      <c r="N17" s="238"/>
      <c r="O17" s="239"/>
      <c r="P17" s="69" t="str">
        <f>IF(G5&gt;6,"円","")</f>
        <v/>
      </c>
      <c r="Q17" s="72" t="str">
        <f t="shared" si="3"/>
        <v/>
      </c>
      <c r="S17" s="70"/>
    </row>
    <row r="18" spans="2:19" ht="32.25" customHeight="1">
      <c r="B18" s="8" t="s">
        <v>7</v>
      </c>
      <c r="C18" s="240"/>
      <c r="D18" s="241"/>
      <c r="E18" s="241"/>
      <c r="F18" s="242"/>
      <c r="G18" s="67" t="str">
        <f>IF(C18&gt;0,"円","")</f>
        <v/>
      </c>
      <c r="H18" s="218"/>
      <c r="I18" s="219"/>
      <c r="J18" s="5"/>
      <c r="K18" s="7"/>
      <c r="L18" s="7"/>
      <c r="M18" s="237"/>
      <c r="N18" s="238"/>
      <c r="O18" s="239"/>
      <c r="P18" s="68"/>
      <c r="Q18" s="72"/>
      <c r="S18" s="70"/>
    </row>
    <row r="19" spans="2:19" ht="33" customHeight="1">
      <c r="B19" s="4" t="s">
        <v>8</v>
      </c>
      <c r="C19" s="237">
        <f>SUM(C11:F18)</f>
        <v>0</v>
      </c>
      <c r="D19" s="238"/>
      <c r="E19" s="238"/>
      <c r="F19" s="239"/>
      <c r="G19" s="67" t="s">
        <v>9</v>
      </c>
      <c r="H19" s="211"/>
      <c r="I19" s="213"/>
      <c r="J19" s="5"/>
      <c r="K19" s="9">
        <f>COUNTIF(K11:K17,"○")</f>
        <v>0</v>
      </c>
      <c r="L19" s="9">
        <f>COUNTIF(L11:L17,"○")</f>
        <v>0</v>
      </c>
      <c r="M19" s="237">
        <f>SUM(M11:M17)</f>
        <v>0</v>
      </c>
      <c r="N19" s="238"/>
      <c r="O19" s="239"/>
      <c r="P19" s="67" t="s">
        <v>1</v>
      </c>
      <c r="Q19" s="72">
        <f>SUM(Q11:Q18)</f>
        <v>0</v>
      </c>
    </row>
    <row r="20" spans="2:19" ht="20.25" customHeight="1">
      <c r="C20" s="71" t="str">
        <f>IF((430000+Q20)&gt;=C19,"○","")</f>
        <v>○</v>
      </c>
      <c r="D20" s="71" t="str">
        <f>IF(AND((430000+G20*305000+Q20)&gt;=C19,C19&gt;(430000+Q20)),"○","")</f>
        <v/>
      </c>
      <c r="E20" s="71" t="str">
        <f>IF(AND((430000+G20*560000+Q20)&gt;=C19,(430000+G20*305000+Q20)&lt;C19),"○","")</f>
        <v/>
      </c>
      <c r="F20" s="71" t="str">
        <f>IF((430000+G20*560000+Q20)&lt;C19,"○","")</f>
        <v/>
      </c>
      <c r="G20" s="72">
        <f>COUNTIF(G11:G17,"円")</f>
        <v>0</v>
      </c>
      <c r="Q20" s="73">
        <f>IF(G7&gt;=1,(G7-1)*100000,0)</f>
        <v>0</v>
      </c>
    </row>
  </sheetData>
  <sheetProtection sheet="1" selectLockedCells="1"/>
  <mergeCells count="39">
    <mergeCell ref="A3:Q3"/>
    <mergeCell ref="A1:Q1"/>
    <mergeCell ref="M19:O19"/>
    <mergeCell ref="M11:O11"/>
    <mergeCell ref="M12:O12"/>
    <mergeCell ref="M13:O13"/>
    <mergeCell ref="M10:P10"/>
    <mergeCell ref="M14:O14"/>
    <mergeCell ref="M15:O15"/>
    <mergeCell ref="M16:O16"/>
    <mergeCell ref="M17:O17"/>
    <mergeCell ref="M18:O18"/>
    <mergeCell ref="C18:F18"/>
    <mergeCell ref="C19:F19"/>
    <mergeCell ref="G5:H6"/>
    <mergeCell ref="G7:H8"/>
    <mergeCell ref="C5:F6"/>
    <mergeCell ref="C7:F8"/>
    <mergeCell ref="C11:F11"/>
    <mergeCell ref="C12:F12"/>
    <mergeCell ref="C13:F13"/>
    <mergeCell ref="C10:G10"/>
    <mergeCell ref="H18:I18"/>
    <mergeCell ref="H19:I19"/>
    <mergeCell ref="C14:F14"/>
    <mergeCell ref="C15:F15"/>
    <mergeCell ref="H15:I15"/>
    <mergeCell ref="H16:I16"/>
    <mergeCell ref="H17:I17"/>
    <mergeCell ref="C16:F16"/>
    <mergeCell ref="C17:F17"/>
    <mergeCell ref="H14:I14"/>
    <mergeCell ref="L5:O5"/>
    <mergeCell ref="L7:O7"/>
    <mergeCell ref="L6:N6"/>
    <mergeCell ref="H12:I12"/>
    <mergeCell ref="H13:I13"/>
    <mergeCell ref="H10:J10"/>
    <mergeCell ref="H11:I11"/>
  </mergeCells>
  <phoneticPr fontId="2"/>
  <pageMargins left="0.70866141732283472" right="0.70866141732283472" top="0.74803149606299213" bottom="0.74803149606299213" header="0.31496062992125984" footer="0.31496062992125984"/>
  <pageSetup paperSize="9" scale="68" orientation="portrait" cellComments="asDisplayed"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2C514-C309-4BCA-89BA-5EDFD220759B}">
  <dimension ref="B1:X64"/>
  <sheetViews>
    <sheetView view="pageBreakPreview" topLeftCell="A18" zoomScale="60" zoomScaleNormal="70" workbookViewId="0">
      <selection activeCell="J59" sqref="J59"/>
    </sheetView>
  </sheetViews>
  <sheetFormatPr defaultRowHeight="18"/>
  <cols>
    <col min="1" max="1" width="4.19921875" customWidth="1"/>
    <col min="4" max="4" width="11.09765625" customWidth="1"/>
    <col min="10" max="10" width="14.19921875" customWidth="1"/>
    <col min="11" max="11" width="14" customWidth="1"/>
    <col min="13" max="13" width="14.59765625" customWidth="1"/>
    <col min="17" max="18" width="10.8984375" customWidth="1"/>
    <col min="20" max="20" width="13" customWidth="1"/>
    <col min="21" max="21" width="16.5" customWidth="1"/>
  </cols>
  <sheetData>
    <row r="1" spans="2:24" ht="78.75" customHeight="1">
      <c r="C1" s="263" t="s">
        <v>53</v>
      </c>
      <c r="D1" s="263"/>
      <c r="E1" s="263"/>
      <c r="F1" s="263"/>
      <c r="G1" s="263"/>
      <c r="H1" s="263"/>
      <c r="I1" s="263"/>
      <c r="J1" s="263"/>
      <c r="K1" s="263"/>
      <c r="L1" s="263"/>
      <c r="M1" s="263"/>
      <c r="N1" s="263"/>
      <c r="O1" s="263"/>
      <c r="P1" s="263"/>
      <c r="Q1" s="263"/>
      <c r="S1" s="247" t="s">
        <v>164</v>
      </c>
      <c r="T1" s="247"/>
      <c r="U1" s="247"/>
      <c r="V1" s="247"/>
      <c r="W1" s="247"/>
    </row>
    <row r="2" spans="2:24" ht="34.5" customHeight="1">
      <c r="B2" s="264" t="s">
        <v>179</v>
      </c>
      <c r="C2" s="265"/>
      <c r="D2" s="265"/>
      <c r="E2" s="265"/>
      <c r="F2" s="265"/>
      <c r="G2" s="265"/>
      <c r="H2" s="265"/>
      <c r="I2" s="265"/>
      <c r="J2" s="265"/>
      <c r="K2" s="265"/>
      <c r="L2" s="265"/>
      <c r="M2" s="265"/>
      <c r="N2" s="265"/>
      <c r="O2" s="265"/>
      <c r="P2" s="265"/>
      <c r="Q2" s="265"/>
      <c r="R2" s="265"/>
      <c r="S2" s="247"/>
      <c r="T2" s="247"/>
      <c r="U2" s="247"/>
      <c r="V2" s="247"/>
      <c r="W2" s="247"/>
      <c r="X2" s="11"/>
    </row>
    <row r="3" spans="2:24">
      <c r="B3" s="12"/>
      <c r="C3" s="13"/>
      <c r="D3" s="13"/>
      <c r="E3" s="13"/>
      <c r="F3" s="13"/>
      <c r="G3" s="13"/>
      <c r="H3" s="13"/>
      <c r="I3" s="13"/>
      <c r="J3" s="13"/>
      <c r="K3" s="13"/>
      <c r="L3" s="13"/>
      <c r="M3" s="13"/>
      <c r="N3" s="13"/>
      <c r="O3" s="13"/>
      <c r="P3" s="13"/>
      <c r="Q3" s="13"/>
      <c r="R3" s="14"/>
      <c r="S3" s="15"/>
      <c r="T3" s="16"/>
      <c r="U3" s="10"/>
      <c r="V3" s="17"/>
      <c r="W3" s="17"/>
      <c r="X3" s="17"/>
    </row>
    <row r="4" spans="2:24" ht="19.2">
      <c r="B4" s="18"/>
      <c r="C4" s="266" t="s">
        <v>11</v>
      </c>
      <c r="D4" s="267"/>
      <c r="E4" s="267"/>
      <c r="F4" s="268"/>
      <c r="G4" s="19" t="s">
        <v>12</v>
      </c>
      <c r="H4" s="17" t="s">
        <v>13</v>
      </c>
      <c r="I4" s="17"/>
      <c r="J4" s="17"/>
      <c r="K4" s="17"/>
      <c r="L4" s="17"/>
      <c r="M4" s="17"/>
      <c r="N4" s="17"/>
      <c r="O4" s="17"/>
      <c r="P4" s="17"/>
      <c r="Q4" s="17"/>
      <c r="R4" s="20"/>
      <c r="S4" s="15"/>
      <c r="T4" s="21" t="s">
        <v>14</v>
      </c>
      <c r="U4" s="10"/>
      <c r="V4" s="17"/>
      <c r="W4" s="17"/>
      <c r="X4" s="17"/>
    </row>
    <row r="5" spans="2:24">
      <c r="B5" s="18"/>
      <c r="C5" s="17"/>
      <c r="D5" s="17"/>
      <c r="E5" s="17"/>
      <c r="F5" s="17"/>
      <c r="G5" s="17"/>
      <c r="H5" s="17"/>
      <c r="I5" s="17"/>
      <c r="J5" s="17"/>
      <c r="K5" s="17"/>
      <c r="L5" s="17"/>
      <c r="M5" s="17"/>
      <c r="N5" s="15"/>
      <c r="O5" s="22"/>
      <c r="P5" s="10" t="s">
        <v>15</v>
      </c>
      <c r="Q5" s="10"/>
      <c r="R5" s="20"/>
      <c r="S5" s="15"/>
      <c r="T5" s="23" t="s">
        <v>16</v>
      </c>
      <c r="U5" s="17"/>
      <c r="V5" s="17"/>
      <c r="W5" s="17"/>
      <c r="X5" s="17"/>
    </row>
    <row r="6" spans="2:24" ht="19.8" thickBot="1">
      <c r="B6" s="18"/>
      <c r="C6" s="17"/>
      <c r="D6" s="259" t="s">
        <v>17</v>
      </c>
      <c r="E6" s="259"/>
      <c r="F6" s="260" t="s">
        <v>18</v>
      </c>
      <c r="G6" s="261"/>
      <c r="H6" s="261"/>
      <c r="I6" s="261"/>
      <c r="J6" s="261"/>
      <c r="K6" s="261"/>
      <c r="L6" s="24" t="s">
        <v>19</v>
      </c>
      <c r="M6" s="25">
        <v>8.4099999999999994E-2</v>
      </c>
      <c r="N6" s="26"/>
      <c r="O6" s="27"/>
      <c r="P6" s="17"/>
      <c r="Q6" s="17"/>
      <c r="R6" s="20"/>
      <c r="S6" s="15"/>
      <c r="T6" s="19" t="s">
        <v>20</v>
      </c>
      <c r="U6" s="17"/>
      <c r="V6" s="17"/>
      <c r="W6" s="17"/>
      <c r="X6" s="17"/>
    </row>
    <row r="7" spans="2:24" ht="19.8" thickBot="1">
      <c r="B7" s="18"/>
      <c r="C7" s="17"/>
      <c r="D7" s="259" t="s">
        <v>21</v>
      </c>
      <c r="E7" s="259"/>
      <c r="F7" s="260" t="s">
        <v>22</v>
      </c>
      <c r="G7" s="261"/>
      <c r="H7" s="261"/>
      <c r="I7" s="261"/>
      <c r="J7" s="262"/>
      <c r="K7" s="28" t="s">
        <v>23</v>
      </c>
      <c r="L7" s="24" t="s">
        <v>19</v>
      </c>
      <c r="M7" s="29">
        <v>31600</v>
      </c>
      <c r="N7" s="30"/>
      <c r="O7" s="17"/>
      <c r="P7" s="17"/>
      <c r="Q7" s="17"/>
      <c r="R7" s="20"/>
      <c r="S7" s="15"/>
      <c r="T7" s="31" t="str">
        <f>'R７年度綾部市国保料試算シート'!M8</f>
        <v/>
      </c>
      <c r="U7" s="17"/>
      <c r="V7" s="118">
        <f>'R７年度綾部市国保料試算シート'!G5</f>
        <v>0</v>
      </c>
      <c r="W7" s="118">
        <f>'R７年度綾部市国保料試算シート'!L19</f>
        <v>0</v>
      </c>
      <c r="X7" s="118">
        <f>V7-W7</f>
        <v>0</v>
      </c>
    </row>
    <row r="8" spans="2:24" ht="19.2">
      <c r="B8" s="18"/>
      <c r="C8" s="17"/>
      <c r="D8" s="259" t="s">
        <v>24</v>
      </c>
      <c r="E8" s="259"/>
      <c r="F8" s="260" t="s">
        <v>25</v>
      </c>
      <c r="G8" s="261"/>
      <c r="H8" s="261"/>
      <c r="I8" s="261"/>
      <c r="J8" s="261"/>
      <c r="K8" s="32"/>
      <c r="L8" s="33"/>
      <c r="M8" s="29">
        <v>20600</v>
      </c>
      <c r="N8" s="30"/>
      <c r="O8" s="17"/>
      <c r="P8" s="17"/>
      <c r="Q8" s="17"/>
      <c r="R8" s="20"/>
      <c r="S8" s="15"/>
      <c r="T8" s="34"/>
      <c r="U8" s="17"/>
      <c r="V8" s="17"/>
      <c r="W8" s="17"/>
      <c r="X8" s="17"/>
    </row>
    <row r="9" spans="2:24">
      <c r="B9" s="18"/>
      <c r="C9" s="17"/>
      <c r="D9" s="17"/>
      <c r="E9" s="17"/>
      <c r="F9" s="17"/>
      <c r="G9" s="17"/>
      <c r="H9" s="17"/>
      <c r="I9" s="17"/>
      <c r="J9" s="17"/>
      <c r="K9" s="17"/>
      <c r="L9" s="17"/>
      <c r="M9" s="17"/>
      <c r="N9" s="17"/>
      <c r="O9" s="17"/>
      <c r="P9" s="17"/>
      <c r="Q9" s="35"/>
      <c r="R9" s="36"/>
      <c r="S9" s="15"/>
      <c r="T9" s="34"/>
      <c r="U9" s="17"/>
      <c r="V9" s="17"/>
      <c r="W9" s="17"/>
      <c r="X9" s="17"/>
    </row>
    <row r="10" spans="2:24" ht="23.4">
      <c r="B10" s="18"/>
      <c r="C10" s="17"/>
      <c r="D10" s="249" t="s">
        <v>17</v>
      </c>
      <c r="E10" s="249"/>
      <c r="F10" s="269">
        <f>'R７年度綾部市国保料試算シート'!M19</f>
        <v>0</v>
      </c>
      <c r="G10" s="269"/>
      <c r="H10" s="269"/>
      <c r="I10" s="37"/>
      <c r="J10" s="19" t="s">
        <v>19</v>
      </c>
      <c r="K10" s="38">
        <f>M6</f>
        <v>8.4099999999999994E-2</v>
      </c>
      <c r="L10" s="19" t="s">
        <v>26</v>
      </c>
      <c r="M10" s="248">
        <f>IF(F10="","",ROUNDDOWN(SUM(F10*M6),0))</f>
        <v>0</v>
      </c>
      <c r="N10" s="248"/>
      <c r="O10" s="248"/>
      <c r="P10" s="39" t="s">
        <v>27</v>
      </c>
      <c r="Q10" s="17"/>
      <c r="R10" s="20"/>
      <c r="S10" s="15" t="s">
        <v>28</v>
      </c>
      <c r="T10" s="40">
        <f>M10</f>
        <v>0</v>
      </c>
      <c r="U10" s="17"/>
      <c r="V10" s="17"/>
      <c r="W10" s="17"/>
      <c r="X10" s="17"/>
    </row>
    <row r="11" spans="2:24">
      <c r="B11" s="18"/>
      <c r="C11" s="17"/>
      <c r="D11" s="17"/>
      <c r="E11" s="17"/>
      <c r="F11" s="17"/>
      <c r="G11" s="17"/>
      <c r="H11" s="17"/>
      <c r="I11" s="17"/>
      <c r="J11" s="19"/>
      <c r="K11" s="19"/>
      <c r="L11" s="19"/>
      <c r="M11" s="17"/>
      <c r="N11" s="17"/>
      <c r="O11" s="17"/>
      <c r="P11" s="19"/>
      <c r="Q11" s="17"/>
      <c r="R11" s="20"/>
      <c r="S11" s="15"/>
      <c r="T11" s="34"/>
      <c r="U11" s="17"/>
      <c r="V11" s="17"/>
      <c r="W11" s="17"/>
      <c r="X11" s="17"/>
    </row>
    <row r="12" spans="2:24" ht="23.4">
      <c r="B12" s="18"/>
      <c r="C12" s="17"/>
      <c r="D12" s="249" t="s">
        <v>158</v>
      </c>
      <c r="E12" s="249"/>
      <c r="F12" s="249"/>
      <c r="G12" s="15"/>
      <c r="H12" s="41">
        <f>X7</f>
        <v>0</v>
      </c>
      <c r="I12" s="15" t="s">
        <v>29</v>
      </c>
      <c r="J12" s="19" t="s">
        <v>19</v>
      </c>
      <c r="K12" s="42">
        <f>M7</f>
        <v>31600</v>
      </c>
      <c r="L12" s="19" t="s">
        <v>26</v>
      </c>
      <c r="M12" s="254">
        <f>IF(H12="","",H12*M7)</f>
        <v>0</v>
      </c>
      <c r="N12" s="254"/>
      <c r="O12" s="254"/>
      <c r="P12" s="39" t="s">
        <v>27</v>
      </c>
      <c r="Q12" s="17"/>
      <c r="R12" s="20"/>
      <c r="S12" s="15" t="s">
        <v>30</v>
      </c>
      <c r="T12" s="43" t="e">
        <f>M12-(M7*$T$7/10*X7)+1/2*(M7*W7-(M7*$T$7/10*W7))</f>
        <v>#VALUE!</v>
      </c>
      <c r="U12" s="17"/>
      <c r="V12" s="43"/>
      <c r="W12" s="17"/>
      <c r="X12" s="17"/>
    </row>
    <row r="13" spans="2:24" s="113" customFormat="1" ht="23.4">
      <c r="B13" s="105"/>
      <c r="C13" s="106"/>
      <c r="D13" s="107"/>
      <c r="E13" s="107"/>
      <c r="F13" s="107"/>
      <c r="G13" s="108"/>
      <c r="H13" s="109"/>
      <c r="I13" s="108"/>
      <c r="J13" s="107"/>
      <c r="K13" s="110"/>
      <c r="L13" s="107"/>
      <c r="M13" s="115"/>
      <c r="N13" s="115"/>
      <c r="O13" s="115"/>
      <c r="P13" s="116"/>
      <c r="Q13" s="106"/>
      <c r="R13" s="111"/>
      <c r="S13" s="108"/>
      <c r="T13" s="112"/>
      <c r="U13" s="106"/>
      <c r="V13" s="112"/>
      <c r="W13" s="106"/>
      <c r="X13" s="106"/>
    </row>
    <row r="14" spans="2:24" ht="23.4">
      <c r="B14" s="18"/>
      <c r="C14" s="17"/>
      <c r="D14" s="249" t="s">
        <v>157</v>
      </c>
      <c r="E14" s="249"/>
      <c r="F14" s="249"/>
      <c r="H14" s="41">
        <f>W7</f>
        <v>0</v>
      </c>
      <c r="I14" s="102" t="s">
        <v>29</v>
      </c>
      <c r="J14" s="103" t="s">
        <v>156</v>
      </c>
      <c r="K14" s="42">
        <f>M7</f>
        <v>31600</v>
      </c>
      <c r="L14" s="103" t="s">
        <v>26</v>
      </c>
      <c r="M14" s="254">
        <f>IF(H14="","",H14*M7*1/2)</f>
        <v>0</v>
      </c>
      <c r="N14" s="254"/>
      <c r="O14" s="254"/>
      <c r="P14" s="39" t="s">
        <v>27</v>
      </c>
      <c r="Q14" s="17"/>
      <c r="R14" s="20"/>
      <c r="S14" s="102"/>
      <c r="T14" s="43"/>
      <c r="U14" s="17"/>
      <c r="V14" s="43"/>
      <c r="W14" s="17"/>
      <c r="X14" s="17"/>
    </row>
    <row r="15" spans="2:24">
      <c r="B15" s="18"/>
      <c r="C15" s="17"/>
      <c r="D15" s="17"/>
      <c r="E15" s="17"/>
      <c r="F15" s="17"/>
      <c r="G15" s="17"/>
      <c r="H15" s="17"/>
      <c r="I15" s="17"/>
      <c r="J15" s="17"/>
      <c r="K15" s="19"/>
      <c r="L15" s="17"/>
      <c r="M15" s="17"/>
      <c r="N15" s="17"/>
      <c r="O15" s="17"/>
      <c r="P15" s="19"/>
      <c r="Q15" s="17"/>
      <c r="R15" s="20"/>
      <c r="S15" s="15"/>
      <c r="T15" s="34"/>
      <c r="U15" s="17"/>
      <c r="V15" s="17"/>
      <c r="W15" s="17"/>
      <c r="X15" s="17"/>
    </row>
    <row r="16" spans="2:24" ht="23.4">
      <c r="B16" s="18"/>
      <c r="C16" s="17"/>
      <c r="D16" s="249" t="s">
        <v>24</v>
      </c>
      <c r="E16" s="249"/>
      <c r="F16" s="17"/>
      <c r="G16" s="17"/>
      <c r="H16" s="17"/>
      <c r="I16" s="17"/>
      <c r="J16" s="17"/>
      <c r="K16" s="42">
        <f>M8</f>
        <v>20600</v>
      </c>
      <c r="L16" s="19"/>
      <c r="M16" s="255">
        <f>M8</f>
        <v>20600</v>
      </c>
      <c r="N16" s="256"/>
      <c r="O16" s="256"/>
      <c r="P16" s="39" t="s">
        <v>27</v>
      </c>
      <c r="Q16" s="17"/>
      <c r="R16" s="20"/>
      <c r="S16" s="15" t="s">
        <v>31</v>
      </c>
      <c r="T16" s="43" t="e">
        <f>M16-(M16*$T$7/10)</f>
        <v>#VALUE!</v>
      </c>
      <c r="U16" s="17"/>
      <c r="V16" s="17"/>
      <c r="W16" s="17"/>
      <c r="X16" s="17"/>
    </row>
    <row r="17" spans="2:24">
      <c r="B17" s="18"/>
      <c r="C17" s="17"/>
      <c r="D17" s="17"/>
      <c r="E17" s="17"/>
      <c r="F17" s="17"/>
      <c r="G17" s="17"/>
      <c r="H17" s="17"/>
      <c r="I17" s="17"/>
      <c r="J17" s="17"/>
      <c r="K17" s="17"/>
      <c r="L17" s="17"/>
      <c r="M17" s="17"/>
      <c r="N17" s="17"/>
      <c r="O17" s="17"/>
      <c r="P17" s="17"/>
      <c r="Q17" s="17"/>
      <c r="R17" s="20"/>
      <c r="S17" s="15"/>
      <c r="T17" s="34"/>
      <c r="U17" s="17"/>
      <c r="V17" s="17"/>
      <c r="W17" s="17"/>
      <c r="X17" s="17"/>
    </row>
    <row r="18" spans="2:24" ht="24" thickBot="1">
      <c r="B18" s="18"/>
      <c r="C18" s="17"/>
      <c r="D18" s="17"/>
      <c r="E18" s="17"/>
      <c r="F18" s="17"/>
      <c r="G18" s="17"/>
      <c r="H18" s="17"/>
      <c r="I18" s="17"/>
      <c r="J18" s="17"/>
      <c r="K18" s="44" t="s">
        <v>32</v>
      </c>
      <c r="L18" s="44"/>
      <c r="M18" s="257">
        <f>IF(M10="","",IF(ROUNDDOWN(M10+M12+M14+M16,-1)&gt;=G19,G19,ROUNDDOWN(M10+M12+M14+M16,-1)))</f>
        <v>20600</v>
      </c>
      <c r="N18" s="258"/>
      <c r="O18" s="258"/>
      <c r="P18" s="45" t="s">
        <v>27</v>
      </c>
      <c r="Q18" s="249" t="s">
        <v>33</v>
      </c>
      <c r="R18" s="250"/>
      <c r="S18" s="46" t="s">
        <v>34</v>
      </c>
      <c r="T18" s="47" t="e">
        <f>ROUNDDOWN(T10+T12+T16,-1)</f>
        <v>#VALUE!</v>
      </c>
      <c r="U18" s="17"/>
      <c r="V18" s="17"/>
      <c r="W18" s="17"/>
      <c r="X18" s="17"/>
    </row>
    <row r="19" spans="2:24" ht="18.600000000000001" thickTop="1">
      <c r="B19" s="18"/>
      <c r="C19" s="17" t="s">
        <v>35</v>
      </c>
      <c r="D19" s="251" t="s">
        <v>36</v>
      </c>
      <c r="E19" s="251"/>
      <c r="F19" s="19" t="s">
        <v>12</v>
      </c>
      <c r="G19" s="252">
        <v>660000</v>
      </c>
      <c r="H19" s="252"/>
      <c r="I19" s="17"/>
      <c r="J19" s="17"/>
      <c r="K19" s="17"/>
      <c r="L19" s="17"/>
      <c r="M19" s="17"/>
      <c r="N19" s="253" t="s">
        <v>37</v>
      </c>
      <c r="O19" s="253"/>
      <c r="P19" s="253"/>
      <c r="Q19" s="17"/>
      <c r="R19" s="20"/>
      <c r="S19" s="15"/>
      <c r="T19" s="34"/>
      <c r="U19" s="17"/>
      <c r="V19" s="17"/>
      <c r="W19" s="17"/>
      <c r="X19" s="17"/>
    </row>
    <row r="20" spans="2:24">
      <c r="B20" s="48"/>
      <c r="C20" s="49"/>
      <c r="D20" s="49"/>
      <c r="E20" s="49"/>
      <c r="F20" s="50"/>
      <c r="G20" s="50"/>
      <c r="H20" s="49"/>
      <c r="I20" s="49"/>
      <c r="J20" s="49"/>
      <c r="K20" s="49"/>
      <c r="L20" s="49"/>
      <c r="M20" s="49"/>
      <c r="N20" s="49"/>
      <c r="O20" s="49"/>
      <c r="P20" s="49"/>
      <c r="Q20" s="49"/>
      <c r="R20" s="51"/>
      <c r="S20" s="52"/>
      <c r="T20" s="53"/>
      <c r="U20" s="35"/>
      <c r="V20" s="17"/>
      <c r="W20" s="17"/>
      <c r="X20" s="17"/>
    </row>
    <row r="21" spans="2:24">
      <c r="B21" s="17"/>
      <c r="C21" s="17"/>
      <c r="D21" s="17"/>
      <c r="E21" s="17"/>
      <c r="F21" s="17"/>
      <c r="G21" s="17"/>
      <c r="H21" s="17"/>
      <c r="I21" s="17"/>
      <c r="J21" s="17"/>
      <c r="K21" s="17"/>
      <c r="L21" s="17"/>
      <c r="M21" s="17"/>
      <c r="N21" s="17"/>
      <c r="O21" s="17"/>
      <c r="P21" s="17"/>
      <c r="Q21" s="17"/>
      <c r="R21" s="17"/>
      <c r="S21" s="15"/>
      <c r="T21" s="34"/>
      <c r="U21" s="17"/>
      <c r="V21" s="17"/>
      <c r="W21" s="17"/>
      <c r="X21" s="17"/>
    </row>
    <row r="22" spans="2:24">
      <c r="B22" s="12"/>
      <c r="C22" s="13"/>
      <c r="D22" s="13"/>
      <c r="E22" s="13"/>
      <c r="F22" s="13"/>
      <c r="G22" s="13"/>
      <c r="H22" s="13"/>
      <c r="I22" s="13"/>
      <c r="J22" s="13"/>
      <c r="K22" s="13"/>
      <c r="L22" s="13"/>
      <c r="M22" s="13"/>
      <c r="N22" s="13"/>
      <c r="O22" s="13"/>
      <c r="P22" s="13"/>
      <c r="Q22" s="13"/>
      <c r="R22" s="14"/>
      <c r="S22" s="15"/>
      <c r="T22" s="34"/>
      <c r="U22" s="17"/>
      <c r="V22" s="17"/>
      <c r="W22" s="17"/>
      <c r="X22" s="17"/>
    </row>
    <row r="23" spans="2:24" ht="19.2">
      <c r="B23" s="18"/>
      <c r="C23" s="266" t="s">
        <v>38</v>
      </c>
      <c r="D23" s="267"/>
      <c r="E23" s="267"/>
      <c r="F23" s="268"/>
      <c r="G23" s="19" t="s">
        <v>12</v>
      </c>
      <c r="H23" s="17" t="s">
        <v>13</v>
      </c>
      <c r="I23" s="17"/>
      <c r="J23" s="17"/>
      <c r="K23" s="17"/>
      <c r="L23" s="17"/>
      <c r="M23" s="17"/>
      <c r="N23" s="17"/>
      <c r="O23" s="17"/>
      <c r="P23" s="17"/>
      <c r="Q23" s="17"/>
      <c r="R23" s="20"/>
      <c r="S23" s="15"/>
      <c r="T23" s="34"/>
      <c r="U23" s="17"/>
      <c r="V23" s="17"/>
      <c r="W23" s="17"/>
      <c r="X23" s="17"/>
    </row>
    <row r="24" spans="2:24">
      <c r="B24" s="18"/>
      <c r="C24" s="17"/>
      <c r="D24" s="17"/>
      <c r="E24" s="17"/>
      <c r="F24" s="17"/>
      <c r="G24" s="17"/>
      <c r="H24" s="17"/>
      <c r="I24" s="17"/>
      <c r="J24" s="17"/>
      <c r="K24" s="17"/>
      <c r="L24" s="17"/>
      <c r="M24" s="17"/>
      <c r="N24" s="17"/>
      <c r="O24" s="17"/>
      <c r="P24" s="17"/>
      <c r="Q24" s="17"/>
      <c r="R24" s="20"/>
      <c r="S24" s="15"/>
      <c r="T24" s="34"/>
      <c r="U24" s="17"/>
      <c r="V24" s="17"/>
      <c r="W24" s="17"/>
      <c r="X24" s="17"/>
    </row>
    <row r="25" spans="2:24" ht="19.2">
      <c r="B25" s="18"/>
      <c r="C25" s="17"/>
      <c r="D25" s="259" t="s">
        <v>17</v>
      </c>
      <c r="E25" s="259"/>
      <c r="F25" s="260" t="s">
        <v>18</v>
      </c>
      <c r="G25" s="261"/>
      <c r="H25" s="261"/>
      <c r="I25" s="261"/>
      <c r="J25" s="261"/>
      <c r="K25" s="261"/>
      <c r="L25" s="24" t="s">
        <v>19</v>
      </c>
      <c r="M25" s="25">
        <v>2.75E-2</v>
      </c>
      <c r="N25" s="26"/>
      <c r="O25" s="27"/>
      <c r="P25" s="17"/>
      <c r="Q25" s="17"/>
      <c r="R25" s="20"/>
      <c r="S25" s="15"/>
      <c r="T25" s="34"/>
      <c r="U25" s="17"/>
      <c r="V25" s="17"/>
      <c r="W25" s="17"/>
      <c r="X25" s="17"/>
    </row>
    <row r="26" spans="2:24" ht="19.2">
      <c r="B26" s="18"/>
      <c r="C26" s="17"/>
      <c r="D26" s="259" t="s">
        <v>21</v>
      </c>
      <c r="E26" s="259"/>
      <c r="F26" s="260" t="s">
        <v>22</v>
      </c>
      <c r="G26" s="261"/>
      <c r="H26" s="261"/>
      <c r="I26" s="261"/>
      <c r="J26" s="262"/>
      <c r="K26" s="28" t="s">
        <v>23</v>
      </c>
      <c r="L26" s="24" t="s">
        <v>19</v>
      </c>
      <c r="M26" s="29">
        <v>10300</v>
      </c>
      <c r="N26" s="30"/>
      <c r="O26" s="17"/>
      <c r="P26" s="17"/>
      <c r="Q26" s="17"/>
      <c r="R26" s="20"/>
      <c r="S26" s="15"/>
      <c r="T26" s="34"/>
      <c r="U26" s="17"/>
      <c r="V26" s="17"/>
      <c r="W26" s="17"/>
      <c r="X26" s="17"/>
    </row>
    <row r="27" spans="2:24" ht="19.2">
      <c r="B27" s="18"/>
      <c r="C27" s="17"/>
      <c r="D27" s="259" t="s">
        <v>24</v>
      </c>
      <c r="E27" s="259"/>
      <c r="F27" s="260" t="s">
        <v>25</v>
      </c>
      <c r="G27" s="261"/>
      <c r="H27" s="261"/>
      <c r="I27" s="261"/>
      <c r="J27" s="261"/>
      <c r="K27" s="32"/>
      <c r="L27" s="33"/>
      <c r="M27" s="29">
        <v>6800</v>
      </c>
      <c r="N27" s="30"/>
      <c r="O27" s="17"/>
      <c r="P27" s="17"/>
      <c r="Q27" s="17"/>
      <c r="R27" s="20"/>
      <c r="S27" s="15"/>
      <c r="T27" s="34"/>
      <c r="U27" s="17"/>
      <c r="V27" s="17"/>
      <c r="W27" s="17"/>
      <c r="X27" s="17"/>
    </row>
    <row r="28" spans="2:24">
      <c r="B28" s="18"/>
      <c r="C28" s="17"/>
      <c r="D28" s="17"/>
      <c r="E28" s="17"/>
      <c r="F28" s="17"/>
      <c r="G28" s="17"/>
      <c r="H28" s="17"/>
      <c r="I28" s="17"/>
      <c r="J28" s="17"/>
      <c r="K28" s="17"/>
      <c r="L28" s="17"/>
      <c r="M28" s="17"/>
      <c r="N28" s="17"/>
      <c r="O28" s="17"/>
      <c r="P28" s="17"/>
      <c r="Q28" s="17"/>
      <c r="R28" s="20"/>
      <c r="S28" s="15"/>
      <c r="T28" s="34"/>
      <c r="U28" s="17"/>
      <c r="V28" s="17"/>
      <c r="W28" s="17"/>
      <c r="X28" s="17"/>
    </row>
    <row r="29" spans="2:24" ht="23.4">
      <c r="B29" s="18"/>
      <c r="C29" s="17"/>
      <c r="D29" s="249" t="s">
        <v>17</v>
      </c>
      <c r="E29" s="249"/>
      <c r="F29" s="248">
        <f>IF(F10="","",F10)</f>
        <v>0</v>
      </c>
      <c r="G29" s="248"/>
      <c r="H29" s="248"/>
      <c r="I29" s="54"/>
      <c r="J29" s="19" t="s">
        <v>19</v>
      </c>
      <c r="K29" s="38">
        <f>M25</f>
        <v>2.75E-2</v>
      </c>
      <c r="L29" s="19" t="s">
        <v>26</v>
      </c>
      <c r="M29" s="248">
        <f>IF(F29="","",ROUNDDOWN(SUM(F29*M25),0))</f>
        <v>0</v>
      </c>
      <c r="N29" s="248"/>
      <c r="O29" s="248"/>
      <c r="P29" s="39" t="s">
        <v>27</v>
      </c>
      <c r="Q29" s="17"/>
      <c r="R29" s="20"/>
      <c r="S29" s="15" t="s">
        <v>28</v>
      </c>
      <c r="T29" s="40">
        <f>M29</f>
        <v>0</v>
      </c>
      <c r="U29" s="17"/>
      <c r="V29" s="17"/>
      <c r="W29" s="17"/>
      <c r="X29" s="17"/>
    </row>
    <row r="30" spans="2:24" ht="19.2">
      <c r="B30" s="18"/>
      <c r="C30" s="17"/>
      <c r="D30" s="17"/>
      <c r="E30" s="17"/>
      <c r="F30" s="17"/>
      <c r="G30" s="17"/>
      <c r="H30" s="17"/>
      <c r="I30" s="17"/>
      <c r="J30" s="19"/>
      <c r="K30" s="55"/>
      <c r="L30" s="19"/>
      <c r="M30" s="17"/>
      <c r="N30" s="17"/>
      <c r="O30" s="17"/>
      <c r="P30" s="19"/>
      <c r="Q30" s="17"/>
      <c r="R30" s="20"/>
      <c r="S30" s="15"/>
      <c r="T30" s="34"/>
      <c r="U30" s="17"/>
      <c r="V30" s="17"/>
      <c r="W30" s="17"/>
      <c r="X30" s="17"/>
    </row>
    <row r="31" spans="2:24" ht="23.4">
      <c r="B31" s="18"/>
      <c r="C31" s="17"/>
      <c r="D31" s="249" t="s">
        <v>158</v>
      </c>
      <c r="E31" s="249"/>
      <c r="F31" s="249"/>
      <c r="G31" s="15"/>
      <c r="H31" s="56">
        <f>X7</f>
        <v>0</v>
      </c>
      <c r="I31" s="15" t="s">
        <v>159</v>
      </c>
      <c r="J31" s="19" t="s">
        <v>160</v>
      </c>
      <c r="K31" s="42">
        <f>M26</f>
        <v>10300</v>
      </c>
      <c r="L31" s="19" t="s">
        <v>161</v>
      </c>
      <c r="M31" s="254">
        <f>IF(H31="","",H31*M26)</f>
        <v>0</v>
      </c>
      <c r="N31" s="254"/>
      <c r="O31" s="254"/>
      <c r="P31" s="39" t="s">
        <v>162</v>
      </c>
      <c r="Q31" s="17"/>
      <c r="R31" s="20"/>
      <c r="S31" s="15" t="s">
        <v>163</v>
      </c>
      <c r="T31" s="43" t="e">
        <f>M31-(M26*$T$7/10*X7)+1/2*(M26*W7-(M26*$T$7/10*W7))</f>
        <v>#VALUE!</v>
      </c>
      <c r="U31" s="17"/>
      <c r="V31" s="17"/>
      <c r="W31" s="17"/>
      <c r="X31" s="17"/>
    </row>
    <row r="32" spans="2:24" ht="23.4">
      <c r="B32" s="18"/>
      <c r="C32" s="17"/>
      <c r="D32" s="107"/>
      <c r="E32" s="107"/>
      <c r="F32" s="107"/>
      <c r="G32" s="102"/>
      <c r="H32" s="117"/>
      <c r="I32" s="102"/>
      <c r="J32" s="103"/>
      <c r="K32" s="42"/>
      <c r="L32" s="103"/>
      <c r="M32" s="114"/>
      <c r="N32" s="114"/>
      <c r="O32" s="114"/>
      <c r="P32" s="104"/>
      <c r="Q32" s="17"/>
      <c r="R32" s="20"/>
      <c r="S32" s="102"/>
      <c r="T32" s="43"/>
      <c r="U32" s="17"/>
      <c r="V32" s="17"/>
      <c r="W32" s="17"/>
      <c r="X32" s="17"/>
    </row>
    <row r="33" spans="2:24" ht="23.4">
      <c r="B33" s="18"/>
      <c r="C33" s="17"/>
      <c r="D33" s="249" t="s">
        <v>157</v>
      </c>
      <c r="E33" s="249"/>
      <c r="F33" s="249"/>
      <c r="G33" s="102"/>
      <c r="H33" s="56">
        <f>W7</f>
        <v>0</v>
      </c>
      <c r="I33" s="102" t="s">
        <v>159</v>
      </c>
      <c r="J33" s="103" t="s">
        <v>155</v>
      </c>
      <c r="K33" s="42">
        <f>M26</f>
        <v>10300</v>
      </c>
      <c r="L33" s="103" t="s">
        <v>161</v>
      </c>
      <c r="M33" s="270">
        <f>IF(H33="","",H33*M26*1/2)</f>
        <v>0</v>
      </c>
      <c r="N33" s="270"/>
      <c r="O33" s="270"/>
      <c r="P33" s="39" t="s">
        <v>162</v>
      </c>
      <c r="Q33" s="17"/>
      <c r="R33" s="20"/>
      <c r="S33" s="102"/>
      <c r="T33" s="43"/>
      <c r="U33" s="17"/>
      <c r="V33" s="17"/>
      <c r="W33" s="17"/>
      <c r="X33" s="17"/>
    </row>
    <row r="34" spans="2:24">
      <c r="B34" s="18"/>
      <c r="C34" s="17"/>
      <c r="D34" s="17"/>
      <c r="E34" s="17"/>
      <c r="F34" s="17"/>
      <c r="G34" s="17"/>
      <c r="H34" s="17"/>
      <c r="I34" s="17"/>
      <c r="J34" s="17"/>
      <c r="K34" s="19"/>
      <c r="L34" s="17"/>
      <c r="M34" s="17"/>
      <c r="N34" s="17"/>
      <c r="O34" s="17"/>
      <c r="P34" s="19"/>
      <c r="Q34" s="17"/>
      <c r="R34" s="20"/>
      <c r="S34" s="15"/>
      <c r="T34" s="34"/>
      <c r="U34" s="17"/>
      <c r="V34" s="17"/>
      <c r="W34" s="17"/>
      <c r="X34" s="17"/>
    </row>
    <row r="35" spans="2:24" ht="23.4">
      <c r="B35" s="18"/>
      <c r="C35" s="17"/>
      <c r="D35" s="249" t="s">
        <v>24</v>
      </c>
      <c r="E35" s="249"/>
      <c r="F35" s="17"/>
      <c r="G35" s="17"/>
      <c r="H35" s="17"/>
      <c r="I35" s="17"/>
      <c r="J35" s="17"/>
      <c r="K35" s="42">
        <f>M27</f>
        <v>6800</v>
      </c>
      <c r="L35" s="19"/>
      <c r="M35" s="255">
        <f>M27</f>
        <v>6800</v>
      </c>
      <c r="N35" s="256"/>
      <c r="O35" s="256"/>
      <c r="P35" s="39" t="s">
        <v>27</v>
      </c>
      <c r="Q35" s="17"/>
      <c r="R35" s="20"/>
      <c r="S35" s="15" t="s">
        <v>31</v>
      </c>
      <c r="T35" s="43" t="e">
        <f>M35-(M35*$T$7/10)</f>
        <v>#VALUE!</v>
      </c>
      <c r="U35" s="17"/>
      <c r="V35" s="17"/>
      <c r="W35" s="17"/>
      <c r="X35" s="17"/>
    </row>
    <row r="36" spans="2:24">
      <c r="B36" s="18"/>
      <c r="C36" s="17"/>
      <c r="D36" s="17"/>
      <c r="E36" s="17"/>
      <c r="F36" s="17"/>
      <c r="G36" s="17"/>
      <c r="H36" s="17"/>
      <c r="I36" s="17"/>
      <c r="J36" s="17"/>
      <c r="K36" s="17"/>
      <c r="L36" s="17"/>
      <c r="M36" s="34"/>
      <c r="N36" s="34"/>
      <c r="O36" s="34"/>
      <c r="P36" s="17"/>
      <c r="Q36" s="17"/>
      <c r="R36" s="20"/>
      <c r="S36" s="15"/>
      <c r="T36" s="34"/>
      <c r="U36" s="17"/>
      <c r="V36" s="17"/>
      <c r="W36" s="17"/>
      <c r="X36" s="17"/>
    </row>
    <row r="37" spans="2:24" ht="24" thickBot="1">
      <c r="B37" s="18"/>
      <c r="C37" s="17"/>
      <c r="D37" s="17"/>
      <c r="E37" s="17"/>
      <c r="F37" s="17"/>
      <c r="G37" s="17"/>
      <c r="H37" s="17"/>
      <c r="I37" s="17"/>
      <c r="J37" s="17"/>
      <c r="K37" s="44" t="s">
        <v>32</v>
      </c>
      <c r="L37" s="44"/>
      <c r="M37" s="257">
        <f>IF(M29="","",IF(ROUNDDOWN(M29+M31+M33+M35,-1)&gt;=G38,G38,ROUNDDOWN(M29+M31+M33+M35,-1)))</f>
        <v>6800</v>
      </c>
      <c r="N37" s="258"/>
      <c r="O37" s="258"/>
      <c r="P37" s="45" t="s">
        <v>27</v>
      </c>
      <c r="Q37" s="249" t="s">
        <v>39</v>
      </c>
      <c r="R37" s="250"/>
      <c r="S37" s="46" t="s">
        <v>40</v>
      </c>
      <c r="T37" s="47" t="e">
        <f>ROUNDDOWN(T29+T31+T35,-1)</f>
        <v>#VALUE!</v>
      </c>
      <c r="U37" s="17"/>
      <c r="V37" s="17"/>
      <c r="W37" s="17"/>
      <c r="X37" s="17"/>
    </row>
    <row r="38" spans="2:24" ht="18.600000000000001" thickTop="1">
      <c r="B38" s="18"/>
      <c r="C38" s="17" t="s">
        <v>35</v>
      </c>
      <c r="D38" s="251" t="s">
        <v>36</v>
      </c>
      <c r="E38" s="251"/>
      <c r="F38" s="19" t="s">
        <v>12</v>
      </c>
      <c r="G38" s="252">
        <v>260000</v>
      </c>
      <c r="H38" s="252"/>
      <c r="I38" s="17"/>
      <c r="J38" s="17"/>
      <c r="K38" s="17"/>
      <c r="L38" s="17"/>
      <c r="M38" s="17"/>
      <c r="N38" s="253" t="s">
        <v>37</v>
      </c>
      <c r="O38" s="253"/>
      <c r="P38" s="253"/>
      <c r="Q38" s="17"/>
      <c r="R38" s="20"/>
      <c r="S38" s="15"/>
      <c r="T38" s="34"/>
      <c r="U38" s="17"/>
      <c r="V38" s="17"/>
      <c r="W38" s="17"/>
      <c r="X38" s="17"/>
    </row>
    <row r="39" spans="2:24">
      <c r="B39" s="48"/>
      <c r="C39" s="49"/>
      <c r="D39" s="49"/>
      <c r="E39" s="49"/>
      <c r="F39" s="49"/>
      <c r="G39" s="49"/>
      <c r="H39" s="49"/>
      <c r="I39" s="49"/>
      <c r="J39" s="49"/>
      <c r="K39" s="49"/>
      <c r="L39" s="49"/>
      <c r="M39" s="49"/>
      <c r="N39" s="49"/>
      <c r="O39" s="49"/>
      <c r="P39" s="49"/>
      <c r="Q39" s="49"/>
      <c r="R39" s="51"/>
      <c r="S39" s="15"/>
      <c r="T39" s="34"/>
      <c r="U39" s="17"/>
      <c r="V39" s="17"/>
      <c r="W39" s="17"/>
      <c r="X39" s="17"/>
    </row>
    <row r="40" spans="2:24">
      <c r="B40" s="57"/>
      <c r="C40" s="57"/>
      <c r="D40" s="57"/>
      <c r="E40" s="57"/>
      <c r="F40" s="57"/>
      <c r="G40" s="57"/>
      <c r="H40" s="57"/>
      <c r="I40" s="57"/>
      <c r="J40" s="57"/>
      <c r="K40" s="57"/>
      <c r="L40" s="57"/>
      <c r="M40" s="57"/>
      <c r="N40" s="57"/>
      <c r="O40" s="57"/>
      <c r="P40" s="58"/>
      <c r="Q40" s="57"/>
      <c r="R40" s="57"/>
      <c r="S40" s="15"/>
      <c r="T40" s="34"/>
      <c r="U40" s="17"/>
      <c r="V40" s="17"/>
      <c r="W40" s="17"/>
      <c r="X40" s="17"/>
    </row>
    <row r="41" spans="2:24">
      <c r="B41" s="12"/>
      <c r="C41" s="13"/>
      <c r="D41" s="13"/>
      <c r="E41" s="13"/>
      <c r="F41" s="13"/>
      <c r="G41" s="13"/>
      <c r="H41" s="13"/>
      <c r="I41" s="13"/>
      <c r="J41" s="13"/>
      <c r="K41" s="13"/>
      <c r="L41" s="13"/>
      <c r="M41" s="13"/>
      <c r="N41" s="13"/>
      <c r="O41" s="13"/>
      <c r="P41" s="13"/>
      <c r="Q41" s="13"/>
      <c r="R41" s="14"/>
      <c r="S41" s="15"/>
      <c r="T41" s="34"/>
      <c r="U41" s="17"/>
      <c r="V41" s="17"/>
      <c r="W41" s="17"/>
      <c r="X41" s="17"/>
    </row>
    <row r="42" spans="2:24" ht="19.2">
      <c r="B42" s="18"/>
      <c r="C42" s="266" t="s">
        <v>41</v>
      </c>
      <c r="D42" s="267"/>
      <c r="E42" s="267"/>
      <c r="F42" s="268"/>
      <c r="G42" s="19" t="s">
        <v>12</v>
      </c>
      <c r="H42" s="17" t="s">
        <v>42</v>
      </c>
      <c r="I42" s="17"/>
      <c r="J42" s="17"/>
      <c r="K42" s="17"/>
      <c r="L42" s="17"/>
      <c r="M42" s="17"/>
      <c r="N42" s="17"/>
      <c r="O42" s="17"/>
      <c r="P42" s="17"/>
      <c r="Q42" s="17"/>
      <c r="R42" s="20"/>
      <c r="S42" s="15"/>
      <c r="T42" s="34"/>
      <c r="U42" s="17"/>
      <c r="V42" s="17"/>
      <c r="W42" s="17"/>
      <c r="X42" s="17"/>
    </row>
    <row r="43" spans="2:24">
      <c r="B43" s="18"/>
      <c r="C43" s="17"/>
      <c r="D43" s="17"/>
      <c r="E43" s="17"/>
      <c r="F43" s="17"/>
      <c r="G43" s="17"/>
      <c r="H43" s="17"/>
      <c r="I43" s="17"/>
      <c r="J43" s="17"/>
      <c r="K43" s="17"/>
      <c r="L43" s="17"/>
      <c r="M43" s="17"/>
      <c r="N43" s="17"/>
      <c r="O43" s="17"/>
      <c r="P43" s="17"/>
      <c r="Q43" s="17"/>
      <c r="R43" s="20"/>
      <c r="S43" s="15"/>
      <c r="T43" s="34"/>
      <c r="U43" s="17"/>
      <c r="V43" s="17"/>
      <c r="W43" s="17"/>
      <c r="X43" s="17"/>
    </row>
    <row r="44" spans="2:24" ht="19.2">
      <c r="B44" s="18"/>
      <c r="C44" s="17"/>
      <c r="D44" s="259" t="s">
        <v>17</v>
      </c>
      <c r="E44" s="259"/>
      <c r="F44" s="260" t="s">
        <v>18</v>
      </c>
      <c r="G44" s="261"/>
      <c r="H44" s="261"/>
      <c r="I44" s="261"/>
      <c r="J44" s="261"/>
      <c r="K44" s="261"/>
      <c r="L44" s="24" t="s">
        <v>19</v>
      </c>
      <c r="M44" s="25">
        <v>2.3599999999999999E-2</v>
      </c>
      <c r="N44" s="26"/>
      <c r="O44" s="27"/>
      <c r="P44" s="17"/>
      <c r="Q44" s="17"/>
      <c r="R44" s="20"/>
      <c r="S44" s="15"/>
      <c r="T44" s="34"/>
      <c r="U44" s="17"/>
      <c r="V44" s="17"/>
      <c r="W44" s="17"/>
      <c r="X44" s="17"/>
    </row>
    <row r="45" spans="2:24" ht="19.2">
      <c r="B45" s="18"/>
      <c r="C45" s="17"/>
      <c r="D45" s="259" t="s">
        <v>21</v>
      </c>
      <c r="E45" s="259"/>
      <c r="F45" s="260" t="s">
        <v>22</v>
      </c>
      <c r="G45" s="261"/>
      <c r="H45" s="261"/>
      <c r="I45" s="261"/>
      <c r="J45" s="262"/>
      <c r="K45" s="28" t="s">
        <v>23</v>
      </c>
      <c r="L45" s="24" t="s">
        <v>19</v>
      </c>
      <c r="M45" s="29">
        <v>11500</v>
      </c>
      <c r="N45" s="30"/>
      <c r="O45" s="17"/>
      <c r="P45" s="17"/>
      <c r="Q45" s="17"/>
      <c r="R45" s="20"/>
      <c r="S45" s="15"/>
      <c r="T45" s="34"/>
      <c r="U45" s="17"/>
      <c r="V45" s="17"/>
      <c r="W45" s="17"/>
      <c r="X45" s="17"/>
    </row>
    <row r="46" spans="2:24" ht="19.2">
      <c r="B46" s="18"/>
      <c r="C46" s="17"/>
      <c r="D46" s="259" t="s">
        <v>24</v>
      </c>
      <c r="E46" s="259"/>
      <c r="F46" s="260" t="s">
        <v>25</v>
      </c>
      <c r="G46" s="261"/>
      <c r="H46" s="261"/>
      <c r="I46" s="261"/>
      <c r="J46" s="261"/>
      <c r="K46" s="32"/>
      <c r="L46" s="33"/>
      <c r="M46" s="29">
        <v>5800</v>
      </c>
      <c r="N46" s="30"/>
      <c r="O46" s="17"/>
      <c r="P46" s="17"/>
      <c r="Q46" s="17"/>
      <c r="R46" s="20"/>
      <c r="S46" s="15"/>
      <c r="T46" s="34"/>
      <c r="U46" s="17"/>
      <c r="V46" s="17"/>
      <c r="W46" s="17"/>
      <c r="X46" s="17"/>
    </row>
    <row r="47" spans="2:24">
      <c r="B47" s="18"/>
      <c r="C47" s="17"/>
      <c r="D47" s="17"/>
      <c r="E47" s="17"/>
      <c r="F47" s="17"/>
      <c r="G47" s="17"/>
      <c r="H47" s="17"/>
      <c r="I47" s="17"/>
      <c r="J47" s="17"/>
      <c r="K47" s="17"/>
      <c r="L47" s="17"/>
      <c r="M47" s="17"/>
      <c r="N47" s="17"/>
      <c r="O47" s="17"/>
      <c r="P47" s="17"/>
      <c r="Q47" s="17"/>
      <c r="R47" s="20"/>
      <c r="S47" s="15"/>
      <c r="T47" s="34"/>
      <c r="U47" s="17"/>
      <c r="V47" s="17"/>
      <c r="W47" s="17"/>
      <c r="X47" s="17"/>
    </row>
    <row r="48" spans="2:24" ht="23.4">
      <c r="B48" s="18"/>
      <c r="C48" s="17"/>
      <c r="D48" s="249" t="s">
        <v>17</v>
      </c>
      <c r="E48" s="249"/>
      <c r="F48" s="269">
        <f>'R７年度綾部市国保料試算シート'!Q19</f>
        <v>0</v>
      </c>
      <c r="G48" s="269"/>
      <c r="H48" s="269"/>
      <c r="I48" s="37"/>
      <c r="J48" s="19" t="s">
        <v>19</v>
      </c>
      <c r="K48" s="38">
        <f>M44</f>
        <v>2.3599999999999999E-2</v>
      </c>
      <c r="L48" s="19" t="s">
        <v>26</v>
      </c>
      <c r="M48" s="248">
        <f>IF(F48="","",ROUNDDOWN(SUM(F48*M44),0))</f>
        <v>0</v>
      </c>
      <c r="N48" s="248"/>
      <c r="O48" s="248"/>
      <c r="P48" s="39" t="s">
        <v>27</v>
      </c>
      <c r="Q48" s="17"/>
      <c r="R48" s="20"/>
      <c r="S48" s="15" t="s">
        <v>28</v>
      </c>
      <c r="T48" s="40">
        <f>M48</f>
        <v>0</v>
      </c>
      <c r="U48" s="17"/>
      <c r="V48" s="17"/>
      <c r="W48" s="17"/>
      <c r="X48" s="17"/>
    </row>
    <row r="49" spans="2:24" ht="19.2">
      <c r="B49" s="18"/>
      <c r="C49" s="17"/>
      <c r="D49" s="17"/>
      <c r="E49" s="17"/>
      <c r="F49" s="17"/>
      <c r="G49" s="17"/>
      <c r="H49" s="17"/>
      <c r="I49" s="17"/>
      <c r="J49" s="19"/>
      <c r="K49" s="55"/>
      <c r="L49" s="19"/>
      <c r="M49" s="17"/>
      <c r="N49" s="17"/>
      <c r="O49" s="17"/>
      <c r="P49" s="19"/>
      <c r="Q49" s="17"/>
      <c r="R49" s="20"/>
      <c r="S49" s="15"/>
      <c r="T49" s="34"/>
      <c r="U49" s="17"/>
      <c r="V49" s="17"/>
      <c r="W49" s="17"/>
      <c r="X49" s="17"/>
    </row>
    <row r="50" spans="2:24" ht="23.4">
      <c r="B50" s="18"/>
      <c r="C50" s="17"/>
      <c r="D50" s="249" t="s">
        <v>21</v>
      </c>
      <c r="E50" s="249"/>
      <c r="F50" s="17"/>
      <c r="G50" s="15"/>
      <c r="H50" s="59">
        <f>'R７年度綾部市国保料試算シート'!K19</f>
        <v>0</v>
      </c>
      <c r="I50" s="15" t="s">
        <v>29</v>
      </c>
      <c r="J50" s="19" t="s">
        <v>19</v>
      </c>
      <c r="K50" s="42">
        <f>M45</f>
        <v>11500</v>
      </c>
      <c r="L50" s="19" t="s">
        <v>26</v>
      </c>
      <c r="M50" s="254">
        <f>IF(H50="","",H50*M45)</f>
        <v>0</v>
      </c>
      <c r="N50" s="254"/>
      <c r="O50" s="254"/>
      <c r="P50" s="39" t="s">
        <v>27</v>
      </c>
      <c r="Q50" s="17"/>
      <c r="R50" s="20"/>
      <c r="S50" s="15" t="s">
        <v>30</v>
      </c>
      <c r="T50" s="43" t="e">
        <f>M50-(M45*$T$7/10*H50)</f>
        <v>#VALUE!</v>
      </c>
      <c r="U50" s="17"/>
      <c r="V50" s="17"/>
      <c r="W50" s="17"/>
      <c r="X50" s="17"/>
    </row>
    <row r="51" spans="2:24">
      <c r="B51" s="18"/>
      <c r="C51" s="17"/>
      <c r="D51" s="17"/>
      <c r="E51" s="17"/>
      <c r="F51" s="17"/>
      <c r="G51" s="17"/>
      <c r="H51" s="17"/>
      <c r="I51" s="17"/>
      <c r="J51" s="17"/>
      <c r="K51" s="19"/>
      <c r="L51" s="17"/>
      <c r="M51" s="17"/>
      <c r="N51" s="17"/>
      <c r="O51" s="17"/>
      <c r="P51" s="19"/>
      <c r="Q51" s="17"/>
      <c r="R51" s="20"/>
      <c r="S51" s="15"/>
      <c r="T51" s="34"/>
      <c r="U51" s="17"/>
      <c r="V51" s="17"/>
      <c r="W51" s="17"/>
      <c r="X51" s="17"/>
    </row>
    <row r="52" spans="2:24" ht="23.4">
      <c r="B52" s="18"/>
      <c r="C52" s="17"/>
      <c r="D52" s="249" t="s">
        <v>24</v>
      </c>
      <c r="E52" s="249"/>
      <c r="F52" s="17"/>
      <c r="G52" s="17"/>
      <c r="H52" s="17"/>
      <c r="I52" s="17"/>
      <c r="J52" s="17"/>
      <c r="K52" s="42">
        <f>M46</f>
        <v>5800</v>
      </c>
      <c r="L52" s="19"/>
      <c r="M52" s="255">
        <f>IF(M50&gt;0,M46,0)</f>
        <v>0</v>
      </c>
      <c r="N52" s="256"/>
      <c r="O52" s="256"/>
      <c r="P52" s="39" t="s">
        <v>27</v>
      </c>
      <c r="Q52" s="17"/>
      <c r="R52" s="20"/>
      <c r="S52" s="15" t="s">
        <v>31</v>
      </c>
      <c r="T52" s="43" t="e">
        <f>M52-(M52*$T$7/10)</f>
        <v>#VALUE!</v>
      </c>
      <c r="U52" s="17"/>
      <c r="V52" s="17"/>
      <c r="W52" s="17"/>
      <c r="X52" s="17"/>
    </row>
    <row r="53" spans="2:24">
      <c r="B53" s="18"/>
      <c r="C53" s="17"/>
      <c r="D53" s="17"/>
      <c r="E53" s="17"/>
      <c r="F53" s="17"/>
      <c r="G53" s="17"/>
      <c r="H53" s="17"/>
      <c r="I53" s="17"/>
      <c r="J53" s="17"/>
      <c r="K53" s="17"/>
      <c r="L53" s="17"/>
      <c r="M53" s="34"/>
      <c r="N53" s="34"/>
      <c r="O53" s="34"/>
      <c r="P53" s="17"/>
      <c r="Q53" s="17"/>
      <c r="R53" s="20"/>
      <c r="S53" s="15"/>
      <c r="T53" s="34"/>
      <c r="U53" s="17"/>
      <c r="V53" s="17"/>
      <c r="W53" s="17"/>
      <c r="X53" s="17"/>
    </row>
    <row r="54" spans="2:24" ht="24" thickBot="1">
      <c r="B54" s="18"/>
      <c r="C54" s="17"/>
      <c r="D54" s="17"/>
      <c r="E54" s="17"/>
      <c r="F54" s="17"/>
      <c r="G54" s="17"/>
      <c r="H54" s="17"/>
      <c r="I54" s="17"/>
      <c r="J54" s="17"/>
      <c r="K54" s="44" t="s">
        <v>32</v>
      </c>
      <c r="L54" s="44"/>
      <c r="M54" s="257">
        <f>IF(M48="","",IF(ROUNDDOWN(M48+M50+M52,-1)&gt;=G55,G55,ROUNDDOWN(M48+M50+M52,-1)))</f>
        <v>0</v>
      </c>
      <c r="N54" s="258"/>
      <c r="O54" s="258"/>
      <c r="P54" s="45" t="s">
        <v>27</v>
      </c>
      <c r="Q54" s="249" t="s">
        <v>43</v>
      </c>
      <c r="R54" s="250"/>
      <c r="S54" s="46" t="s">
        <v>44</v>
      </c>
      <c r="T54" s="47" t="e">
        <f>ROUNDDOWN(T48+T50+T52,-1)</f>
        <v>#VALUE!</v>
      </c>
      <c r="U54" s="17"/>
      <c r="V54" s="17"/>
      <c r="W54" s="17"/>
      <c r="X54" s="17"/>
    </row>
    <row r="55" spans="2:24" ht="18.600000000000001" thickTop="1">
      <c r="B55" s="18"/>
      <c r="C55" s="17" t="s">
        <v>35</v>
      </c>
      <c r="D55" s="251" t="s">
        <v>36</v>
      </c>
      <c r="E55" s="251"/>
      <c r="F55" s="19" t="s">
        <v>12</v>
      </c>
      <c r="G55" s="252">
        <v>170000</v>
      </c>
      <c r="H55" s="252"/>
      <c r="I55" s="17"/>
      <c r="J55" s="17"/>
      <c r="K55" s="17"/>
      <c r="L55" s="17"/>
      <c r="M55" s="17"/>
      <c r="N55" s="253" t="s">
        <v>37</v>
      </c>
      <c r="O55" s="253"/>
      <c r="P55" s="253"/>
      <c r="Q55" s="17"/>
      <c r="R55" s="20"/>
      <c r="S55" s="15"/>
      <c r="T55" s="34"/>
      <c r="U55" s="17"/>
      <c r="V55" s="17"/>
      <c r="W55" s="17"/>
      <c r="X55" s="17"/>
    </row>
    <row r="56" spans="2:24">
      <c r="B56" s="18"/>
      <c r="C56" s="17" t="s">
        <v>45</v>
      </c>
      <c r="D56" s="17"/>
      <c r="E56" s="17"/>
      <c r="F56" s="17"/>
      <c r="G56" s="17"/>
      <c r="H56" s="17"/>
      <c r="I56" s="17"/>
      <c r="J56" s="17"/>
      <c r="K56" s="17"/>
      <c r="L56" s="17"/>
      <c r="M56" s="17"/>
      <c r="N56" s="17"/>
      <c r="O56" s="17"/>
      <c r="P56" s="17"/>
      <c r="Q56" s="17"/>
      <c r="R56" s="20"/>
      <c r="S56" s="15"/>
      <c r="T56" s="34"/>
      <c r="U56" s="17"/>
      <c r="V56" s="17"/>
      <c r="W56" s="17"/>
      <c r="X56" s="17"/>
    </row>
    <row r="57" spans="2:24">
      <c r="B57" s="48"/>
      <c r="C57" s="49"/>
      <c r="D57" s="49"/>
      <c r="E57" s="49"/>
      <c r="F57" s="49"/>
      <c r="G57" s="49"/>
      <c r="H57" s="49"/>
      <c r="I57" s="49"/>
      <c r="J57" s="49"/>
      <c r="K57" s="49"/>
      <c r="L57" s="49"/>
      <c r="M57" s="49"/>
      <c r="N57" s="49"/>
      <c r="O57" s="49"/>
      <c r="P57" s="49"/>
      <c r="Q57" s="49"/>
      <c r="R57" s="51"/>
      <c r="S57" s="15"/>
      <c r="T57" s="34"/>
      <c r="U57" s="17"/>
      <c r="V57" s="17"/>
      <c r="W57" s="17"/>
      <c r="X57" s="17"/>
    </row>
    <row r="58" spans="2:24" ht="21">
      <c r="B58" s="60"/>
      <c r="C58" s="60"/>
      <c r="D58" s="60"/>
      <c r="E58" s="60"/>
      <c r="F58" s="60"/>
      <c r="G58" s="60"/>
      <c r="H58" s="60"/>
      <c r="I58" s="60"/>
      <c r="J58" s="60"/>
      <c r="K58" s="60"/>
      <c r="L58" s="61"/>
      <c r="M58" s="61"/>
      <c r="N58" s="61"/>
      <c r="O58" s="61"/>
      <c r="P58" s="60"/>
      <c r="Q58" s="271" t="str">
        <f>IFERROR(U58,"")</f>
        <v/>
      </c>
      <c r="R58" s="271"/>
      <c r="S58" s="62"/>
      <c r="T58" s="63"/>
      <c r="U58" s="60" t="e">
        <f>IF(T59=M59,"","軽減適用後")</f>
        <v>#VALUE!</v>
      </c>
      <c r="V58" s="60"/>
      <c r="W58" s="60"/>
      <c r="X58" s="60"/>
    </row>
    <row r="59" spans="2:24" ht="24" thickBot="1">
      <c r="B59" s="17"/>
      <c r="C59" s="17"/>
      <c r="D59" s="1"/>
      <c r="E59" s="66"/>
      <c r="F59" s="17"/>
      <c r="G59" s="17"/>
      <c r="H59" s="17"/>
      <c r="I59" s="17"/>
      <c r="J59" s="17"/>
      <c r="K59" s="64" t="s">
        <v>46</v>
      </c>
      <c r="L59" s="65"/>
      <c r="M59" s="272">
        <f>SUM(M18+M37+M54)</f>
        <v>27400</v>
      </c>
      <c r="N59" s="272"/>
      <c r="O59" s="272"/>
      <c r="P59" s="45" t="s">
        <v>27</v>
      </c>
      <c r="Q59" s="273" t="str">
        <f>IFERROR(U59,"法定軽減無し")</f>
        <v>法定軽減無し</v>
      </c>
      <c r="R59" s="273"/>
      <c r="S59" s="46" t="s">
        <v>47</v>
      </c>
      <c r="T59" s="47" t="e">
        <f>T18+T37+T54</f>
        <v>#VALUE!</v>
      </c>
      <c r="U59" s="119" t="e">
        <f>IF(T7=0,"",T59)</f>
        <v>#VALUE!</v>
      </c>
      <c r="V59" s="17"/>
      <c r="W59" s="17"/>
      <c r="X59" s="17"/>
    </row>
    <row r="60" spans="2:24" ht="18.600000000000001" thickTop="1">
      <c r="B60" s="17"/>
      <c r="C60" s="17"/>
      <c r="D60" s="17"/>
      <c r="E60" s="17"/>
      <c r="F60" s="17"/>
      <c r="G60" s="17"/>
      <c r="H60" s="17"/>
      <c r="I60" s="17"/>
      <c r="J60" s="17"/>
      <c r="K60" s="17"/>
      <c r="L60" s="17"/>
      <c r="M60" s="17"/>
      <c r="N60" s="17"/>
      <c r="O60" s="17"/>
      <c r="P60" s="17"/>
      <c r="Q60" s="17"/>
      <c r="R60" s="17"/>
      <c r="S60" s="15"/>
      <c r="T60" s="34"/>
      <c r="U60" s="17"/>
      <c r="V60" s="17"/>
      <c r="W60" s="17"/>
      <c r="X60" s="17"/>
    </row>
    <row r="61" spans="2:24" ht="21">
      <c r="B61" s="274" t="s">
        <v>48</v>
      </c>
      <c r="C61" s="274"/>
      <c r="D61" s="17" t="s">
        <v>49</v>
      </c>
      <c r="E61" s="17"/>
      <c r="F61" s="17"/>
      <c r="G61" s="17"/>
      <c r="H61" s="17"/>
      <c r="I61" s="17"/>
      <c r="J61" s="17"/>
      <c r="K61" s="17"/>
      <c r="L61" s="17"/>
      <c r="M61" s="17"/>
      <c r="N61" s="275"/>
      <c r="O61" s="275"/>
      <c r="Q61" s="276"/>
      <c r="R61" s="276"/>
      <c r="S61" s="15"/>
      <c r="T61" s="34"/>
      <c r="U61" s="17"/>
      <c r="V61" s="17"/>
      <c r="W61" s="17"/>
      <c r="X61" s="17"/>
    </row>
    <row r="62" spans="2:24">
      <c r="B62" s="17"/>
      <c r="C62" s="17"/>
      <c r="D62" s="17" t="s">
        <v>50</v>
      </c>
      <c r="E62" s="17"/>
      <c r="F62" s="17"/>
      <c r="G62" s="17"/>
      <c r="H62" s="17"/>
      <c r="I62" s="17"/>
      <c r="J62" s="17"/>
      <c r="K62" s="17"/>
      <c r="L62" s="17"/>
      <c r="M62" s="17"/>
      <c r="N62" s="17"/>
      <c r="O62" s="17"/>
      <c r="P62" s="17"/>
      <c r="Q62" s="17"/>
      <c r="R62" s="17"/>
      <c r="S62" s="15"/>
      <c r="T62" s="34"/>
      <c r="U62" s="17"/>
      <c r="V62" s="17"/>
      <c r="W62" s="17"/>
      <c r="X62" s="17"/>
    </row>
    <row r="63" spans="2:24">
      <c r="B63" s="17"/>
      <c r="C63" s="17"/>
      <c r="D63" s="17" t="s">
        <v>51</v>
      </c>
      <c r="E63" s="17"/>
      <c r="F63" s="17"/>
      <c r="G63" s="17"/>
      <c r="H63" s="17"/>
      <c r="I63" s="17"/>
      <c r="J63" s="17"/>
      <c r="K63" s="17"/>
      <c r="L63" s="17"/>
      <c r="M63" s="17"/>
      <c r="N63" s="17"/>
      <c r="O63" s="17"/>
      <c r="P63" s="17"/>
      <c r="Q63" s="17"/>
      <c r="R63" s="17"/>
      <c r="S63" s="15"/>
      <c r="T63" s="34"/>
      <c r="U63" s="17"/>
      <c r="V63" s="17"/>
      <c r="W63" s="17"/>
      <c r="X63" s="17"/>
    </row>
    <row r="64" spans="2:24">
      <c r="B64" s="17"/>
      <c r="C64" s="17"/>
      <c r="D64" s="17" t="s">
        <v>52</v>
      </c>
      <c r="E64" s="17"/>
      <c r="F64" s="17"/>
      <c r="G64" s="17"/>
      <c r="H64" s="17"/>
      <c r="I64" s="17"/>
      <c r="J64" s="17"/>
      <c r="K64" s="17"/>
      <c r="L64" s="17"/>
      <c r="M64" s="17"/>
      <c r="N64" s="17"/>
      <c r="O64" s="17"/>
      <c r="P64" s="17"/>
      <c r="Q64" s="17"/>
      <c r="R64" s="17"/>
      <c r="S64" s="15"/>
      <c r="T64" s="34"/>
      <c r="U64" s="17"/>
      <c r="V64" s="17"/>
      <c r="W64" s="17"/>
      <c r="X64" s="17"/>
    </row>
  </sheetData>
  <sheetProtection sheet="1" selectLockedCells="1"/>
  <mergeCells count="70">
    <mergeCell ref="D46:E46"/>
    <mergeCell ref="F46:J46"/>
    <mergeCell ref="D35:E35"/>
    <mergeCell ref="D44:E44"/>
    <mergeCell ref="F44:K44"/>
    <mergeCell ref="C42:F42"/>
    <mergeCell ref="M59:O59"/>
    <mergeCell ref="Q59:R59"/>
    <mergeCell ref="B61:C61"/>
    <mergeCell ref="N61:O61"/>
    <mergeCell ref="Q61:R61"/>
    <mergeCell ref="M37:O37"/>
    <mergeCell ref="Q58:R58"/>
    <mergeCell ref="D48:E48"/>
    <mergeCell ref="F48:H48"/>
    <mergeCell ref="M48:O48"/>
    <mergeCell ref="D50:E50"/>
    <mergeCell ref="M50:O50"/>
    <mergeCell ref="D52:E52"/>
    <mergeCell ref="M52:O52"/>
    <mergeCell ref="M54:O54"/>
    <mergeCell ref="Q54:R54"/>
    <mergeCell ref="D55:E55"/>
    <mergeCell ref="G55:H55"/>
    <mergeCell ref="N55:P55"/>
    <mergeCell ref="D45:E45"/>
    <mergeCell ref="F45:J45"/>
    <mergeCell ref="C23:F23"/>
    <mergeCell ref="D25:E25"/>
    <mergeCell ref="F25:K25"/>
    <mergeCell ref="Q37:R37"/>
    <mergeCell ref="D38:E38"/>
    <mergeCell ref="G38:H38"/>
    <mergeCell ref="N38:P38"/>
    <mergeCell ref="M35:O35"/>
    <mergeCell ref="D27:E27"/>
    <mergeCell ref="F27:J27"/>
    <mergeCell ref="D29:E29"/>
    <mergeCell ref="F29:H29"/>
    <mergeCell ref="M29:O29"/>
    <mergeCell ref="M31:O31"/>
    <mergeCell ref="D33:F33"/>
    <mergeCell ref="M33:O33"/>
    <mergeCell ref="D26:E26"/>
    <mergeCell ref="F26:J26"/>
    <mergeCell ref="D31:F31"/>
    <mergeCell ref="C1:Q1"/>
    <mergeCell ref="M12:O12"/>
    <mergeCell ref="B2:R2"/>
    <mergeCell ref="C4:F4"/>
    <mergeCell ref="D6:E6"/>
    <mergeCell ref="F6:K6"/>
    <mergeCell ref="D7:E7"/>
    <mergeCell ref="F7:J7"/>
    <mergeCell ref="D8:E8"/>
    <mergeCell ref="F8:J8"/>
    <mergeCell ref="D10:E10"/>
    <mergeCell ref="F10:H10"/>
    <mergeCell ref="D12:F12"/>
    <mergeCell ref="S1:W2"/>
    <mergeCell ref="M10:O10"/>
    <mergeCell ref="Q18:R18"/>
    <mergeCell ref="D19:E19"/>
    <mergeCell ref="G19:H19"/>
    <mergeCell ref="N19:P19"/>
    <mergeCell ref="M14:O14"/>
    <mergeCell ref="D14:F14"/>
    <mergeCell ref="D16:E16"/>
    <mergeCell ref="M16:O16"/>
    <mergeCell ref="M18:O18"/>
  </mergeCells>
  <phoneticPr fontId="2"/>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AFAB-B037-4199-A17C-F3C0AB2B48BF}">
  <dimension ref="B1:Y22"/>
  <sheetViews>
    <sheetView view="pageBreakPreview" zoomScaleNormal="100" zoomScaleSheetLayoutView="100" workbookViewId="0">
      <selection activeCell="N10" sqref="N10:O11"/>
    </sheetView>
  </sheetViews>
  <sheetFormatPr defaultRowHeight="18"/>
  <cols>
    <col min="1" max="1" width="4.3984375" customWidth="1"/>
    <col min="2" max="25" width="3.3984375" customWidth="1"/>
  </cols>
  <sheetData>
    <row r="1" spans="2:25" ht="13.5" customHeight="1"/>
    <row r="2" spans="2:25" ht="21" customHeight="1">
      <c r="B2" s="277" t="s">
        <v>90</v>
      </c>
      <c r="C2" s="277"/>
      <c r="D2" s="277"/>
      <c r="E2" s="277"/>
      <c r="F2" s="277"/>
      <c r="G2" s="277"/>
      <c r="H2" s="277"/>
      <c r="I2" s="277"/>
      <c r="J2" s="277"/>
      <c r="K2" s="277"/>
      <c r="L2" s="277"/>
      <c r="M2" s="277"/>
      <c r="N2" s="277"/>
      <c r="O2" s="277"/>
      <c r="P2" s="277"/>
      <c r="Q2" s="277"/>
      <c r="R2" s="277"/>
      <c r="S2" s="277"/>
      <c r="T2" s="277"/>
      <c r="U2" s="277"/>
      <c r="V2" s="277"/>
      <c r="W2" s="277"/>
      <c r="X2" s="277"/>
      <c r="Y2" s="277"/>
    </row>
    <row r="3" spans="2:25" ht="13.5" customHeight="1">
      <c r="B3" s="278" t="s">
        <v>91</v>
      </c>
      <c r="C3" s="279"/>
      <c r="D3" s="284" t="s">
        <v>92</v>
      </c>
      <c r="E3" s="287"/>
      <c r="F3" s="288"/>
      <c r="G3" s="288"/>
      <c r="H3" s="288"/>
      <c r="I3" s="288"/>
      <c r="J3" s="288"/>
      <c r="K3" s="288"/>
      <c r="L3" s="288"/>
      <c r="M3" s="288"/>
      <c r="N3" s="289"/>
      <c r="O3" s="296" t="s">
        <v>93</v>
      </c>
      <c r="P3" s="297"/>
      <c r="Q3" s="297"/>
      <c r="R3" s="297"/>
      <c r="S3" s="297"/>
      <c r="T3" s="297"/>
      <c r="U3" s="297"/>
      <c r="V3" s="297"/>
      <c r="W3" s="297"/>
      <c r="X3" s="297"/>
      <c r="Y3" s="298"/>
    </row>
    <row r="4" spans="2:25" ht="13.5" customHeight="1">
      <c r="B4" s="280"/>
      <c r="C4" s="281"/>
      <c r="D4" s="285"/>
      <c r="E4" s="290"/>
      <c r="F4" s="291"/>
      <c r="G4" s="291"/>
      <c r="H4" s="291"/>
      <c r="I4" s="291"/>
      <c r="J4" s="291"/>
      <c r="K4" s="291"/>
      <c r="L4" s="291"/>
      <c r="M4" s="291"/>
      <c r="N4" s="292"/>
      <c r="O4" s="296" t="s">
        <v>94</v>
      </c>
      <c r="P4" s="297"/>
      <c r="Q4" s="297"/>
      <c r="R4" s="297"/>
      <c r="S4" s="297"/>
      <c r="T4" s="297"/>
      <c r="U4" s="297"/>
      <c r="V4" s="297"/>
      <c r="W4" s="297"/>
      <c r="X4" s="297"/>
      <c r="Y4" s="298"/>
    </row>
    <row r="5" spans="2:25" ht="13.5" customHeight="1">
      <c r="B5" s="280"/>
      <c r="C5" s="281"/>
      <c r="D5" s="285"/>
      <c r="E5" s="290"/>
      <c r="F5" s="291"/>
      <c r="G5" s="291"/>
      <c r="H5" s="291"/>
      <c r="I5" s="291"/>
      <c r="J5" s="291"/>
      <c r="K5" s="291"/>
      <c r="L5" s="291"/>
      <c r="M5" s="291"/>
      <c r="N5" s="292"/>
      <c r="O5" s="296" t="s">
        <v>95</v>
      </c>
      <c r="P5" s="297"/>
      <c r="Q5" s="297"/>
      <c r="R5" s="297"/>
      <c r="S5" s="297"/>
      <c r="T5" s="297"/>
      <c r="U5" s="297"/>
      <c r="V5" s="297"/>
      <c r="W5" s="297"/>
      <c r="X5" s="297"/>
      <c r="Y5" s="298"/>
    </row>
    <row r="6" spans="2:25" ht="13.5" customHeight="1">
      <c r="B6" s="280"/>
      <c r="C6" s="281"/>
      <c r="D6" s="285"/>
      <c r="E6" s="290"/>
      <c r="F6" s="291"/>
      <c r="G6" s="291"/>
      <c r="H6" s="291"/>
      <c r="I6" s="291"/>
      <c r="J6" s="291"/>
      <c r="K6" s="291"/>
      <c r="L6" s="291"/>
      <c r="M6" s="291"/>
      <c r="N6" s="292"/>
      <c r="O6" s="284" t="s">
        <v>96</v>
      </c>
      <c r="P6" s="301" t="s">
        <v>97</v>
      </c>
      <c r="Q6" s="301"/>
      <c r="R6" s="301"/>
      <c r="S6" s="301"/>
      <c r="T6" s="301"/>
      <c r="U6" s="301"/>
      <c r="V6" s="301"/>
      <c r="W6" s="301"/>
      <c r="X6" s="301"/>
      <c r="Y6" s="302"/>
    </row>
    <row r="7" spans="2:25" ht="13.5" customHeight="1">
      <c r="B7" s="280"/>
      <c r="C7" s="281"/>
      <c r="D7" s="285"/>
      <c r="E7" s="290"/>
      <c r="F7" s="291"/>
      <c r="G7" s="291"/>
      <c r="H7" s="291"/>
      <c r="I7" s="291"/>
      <c r="J7" s="291"/>
      <c r="K7" s="291"/>
      <c r="L7" s="291"/>
      <c r="M7" s="291"/>
      <c r="N7" s="292"/>
      <c r="O7" s="299"/>
      <c r="P7" s="290"/>
      <c r="Q7" s="291"/>
      <c r="R7" s="291"/>
      <c r="S7" s="291"/>
      <c r="T7" s="291"/>
      <c r="U7" s="291"/>
      <c r="V7" s="291"/>
      <c r="W7" s="291"/>
      <c r="X7" s="291"/>
      <c r="Y7" s="303"/>
    </row>
    <row r="8" spans="2:25" ht="13.5" customHeight="1" thickBot="1">
      <c r="B8" s="282"/>
      <c r="C8" s="283"/>
      <c r="D8" s="286"/>
      <c r="E8" s="293"/>
      <c r="F8" s="294"/>
      <c r="G8" s="294"/>
      <c r="H8" s="294"/>
      <c r="I8" s="294"/>
      <c r="J8" s="294"/>
      <c r="K8" s="294"/>
      <c r="L8" s="294"/>
      <c r="M8" s="294"/>
      <c r="N8" s="295"/>
      <c r="O8" s="300"/>
      <c r="P8" s="304"/>
      <c r="Q8" s="305"/>
      <c r="R8" s="305"/>
      <c r="S8" s="305"/>
      <c r="T8" s="305"/>
      <c r="U8" s="305"/>
      <c r="V8" s="305"/>
      <c r="W8" s="305"/>
      <c r="X8" s="305"/>
      <c r="Y8" s="306"/>
    </row>
    <row r="9" spans="2:25" ht="25.5" customHeight="1">
      <c r="B9" s="318" t="s">
        <v>98</v>
      </c>
      <c r="C9" s="319"/>
      <c r="D9" s="319"/>
      <c r="E9" s="320"/>
      <c r="F9" s="318" t="s">
        <v>99</v>
      </c>
      <c r="G9" s="319"/>
      <c r="H9" s="319"/>
      <c r="I9" s="319"/>
      <c r="J9" s="321"/>
      <c r="K9" s="322" t="s">
        <v>100</v>
      </c>
      <c r="L9" s="323"/>
      <c r="M9" s="323"/>
      <c r="N9" s="323"/>
      <c r="O9" s="324"/>
      <c r="P9" s="325" t="s">
        <v>101</v>
      </c>
      <c r="Q9" s="319"/>
      <c r="R9" s="319"/>
      <c r="S9" s="319"/>
      <c r="T9" s="320"/>
      <c r="U9" s="318" t="s">
        <v>102</v>
      </c>
      <c r="V9" s="319"/>
      <c r="W9" s="319"/>
      <c r="X9" s="319"/>
      <c r="Y9" s="320"/>
    </row>
    <row r="10" spans="2:25" ht="13.5" customHeight="1">
      <c r="B10" s="307"/>
      <c r="C10" s="288"/>
      <c r="D10" s="288"/>
      <c r="E10" s="308"/>
      <c r="F10" s="310" t="s">
        <v>103</v>
      </c>
      <c r="G10" s="312" t="s">
        <v>104</v>
      </c>
      <c r="H10" s="312"/>
      <c r="I10" s="312" t="s">
        <v>27</v>
      </c>
      <c r="J10" s="314"/>
      <c r="K10" s="316"/>
      <c r="L10" s="341" t="s">
        <v>104</v>
      </c>
      <c r="M10" s="341"/>
      <c r="N10" s="341" t="s">
        <v>27</v>
      </c>
      <c r="O10" s="343"/>
      <c r="P10" s="287"/>
      <c r="Q10" s="312" t="s">
        <v>104</v>
      </c>
      <c r="R10" s="312"/>
      <c r="S10" s="312" t="s">
        <v>27</v>
      </c>
      <c r="T10" s="326"/>
      <c r="U10" s="307"/>
      <c r="V10" s="312" t="s">
        <v>104</v>
      </c>
      <c r="W10" s="312"/>
      <c r="X10" s="312" t="s">
        <v>27</v>
      </c>
      <c r="Y10" s="326"/>
    </row>
    <row r="11" spans="2:25" ht="13.5" customHeight="1" thickBot="1">
      <c r="B11" s="309"/>
      <c r="C11" s="305"/>
      <c r="D11" s="305"/>
      <c r="E11" s="306"/>
      <c r="F11" s="311"/>
      <c r="G11" s="313"/>
      <c r="H11" s="313"/>
      <c r="I11" s="313"/>
      <c r="J11" s="315"/>
      <c r="K11" s="317"/>
      <c r="L11" s="342"/>
      <c r="M11" s="342"/>
      <c r="N11" s="342"/>
      <c r="O11" s="344"/>
      <c r="P11" s="304"/>
      <c r="Q11" s="313"/>
      <c r="R11" s="313"/>
      <c r="S11" s="313"/>
      <c r="T11" s="327"/>
      <c r="U11" s="309"/>
      <c r="V11" s="313"/>
      <c r="W11" s="313"/>
      <c r="X11" s="313"/>
      <c r="Y11" s="327"/>
    </row>
    <row r="12" spans="2:25" ht="13.5" customHeight="1">
      <c r="B12" s="328" t="s">
        <v>105</v>
      </c>
      <c r="C12" s="329"/>
      <c r="D12" s="329"/>
      <c r="E12" s="330"/>
      <c r="F12" s="278" t="s">
        <v>106</v>
      </c>
      <c r="G12" s="334"/>
      <c r="H12" s="334"/>
      <c r="I12" s="279"/>
      <c r="J12" s="278" t="s">
        <v>107</v>
      </c>
      <c r="K12" s="339"/>
      <c r="L12" s="339"/>
      <c r="M12" s="339"/>
      <c r="N12" s="339"/>
      <c r="O12" s="339"/>
      <c r="P12" s="334"/>
      <c r="Q12" s="279"/>
      <c r="R12" s="278" t="s">
        <v>108</v>
      </c>
      <c r="S12" s="279"/>
      <c r="T12" s="278" t="s">
        <v>109</v>
      </c>
      <c r="U12" s="334"/>
      <c r="V12" s="334"/>
      <c r="W12" s="279"/>
      <c r="X12" s="278" t="s">
        <v>110</v>
      </c>
      <c r="Y12" s="279"/>
    </row>
    <row r="13" spans="2:25" ht="13.5" customHeight="1">
      <c r="B13" s="331"/>
      <c r="C13" s="332"/>
      <c r="D13" s="332"/>
      <c r="E13" s="333"/>
      <c r="F13" s="280"/>
      <c r="G13" s="335"/>
      <c r="H13" s="335"/>
      <c r="I13" s="281"/>
      <c r="J13" s="336"/>
      <c r="K13" s="337"/>
      <c r="L13" s="337"/>
      <c r="M13" s="337"/>
      <c r="N13" s="337"/>
      <c r="O13" s="337"/>
      <c r="P13" s="337"/>
      <c r="Q13" s="338"/>
      <c r="R13" s="280"/>
      <c r="S13" s="281"/>
      <c r="T13" s="336"/>
      <c r="U13" s="337"/>
      <c r="V13" s="337"/>
      <c r="W13" s="338"/>
      <c r="X13" s="280"/>
      <c r="Y13" s="281"/>
    </row>
    <row r="14" spans="2:25" ht="13.5" customHeight="1">
      <c r="B14" s="86"/>
      <c r="C14" s="87"/>
      <c r="D14" s="340" t="s">
        <v>111</v>
      </c>
      <c r="E14" s="340"/>
      <c r="F14" s="336"/>
      <c r="G14" s="337"/>
      <c r="H14" s="337"/>
      <c r="I14" s="338"/>
      <c r="J14" s="318" t="s">
        <v>112</v>
      </c>
      <c r="K14" s="320"/>
      <c r="L14" s="318" t="s">
        <v>113</v>
      </c>
      <c r="M14" s="319"/>
      <c r="N14" s="319"/>
      <c r="O14" s="320"/>
      <c r="P14" s="318" t="s">
        <v>114</v>
      </c>
      <c r="Q14" s="320"/>
      <c r="R14" s="336"/>
      <c r="S14" s="338"/>
      <c r="T14" s="318" t="s">
        <v>115</v>
      </c>
      <c r="U14" s="320"/>
      <c r="V14" s="318" t="s">
        <v>114</v>
      </c>
      <c r="W14" s="320"/>
      <c r="X14" s="336"/>
      <c r="Y14" s="338"/>
    </row>
    <row r="15" spans="2:25" ht="13.5" customHeight="1">
      <c r="B15" s="88" t="s">
        <v>116</v>
      </c>
      <c r="C15" s="88" t="s">
        <v>117</v>
      </c>
      <c r="D15" s="307"/>
      <c r="E15" s="308"/>
      <c r="F15" s="345" t="s">
        <v>104</v>
      </c>
      <c r="G15" s="346"/>
      <c r="H15" s="349" t="s">
        <v>27</v>
      </c>
      <c r="I15" s="350"/>
      <c r="J15" s="353" t="s">
        <v>29</v>
      </c>
      <c r="K15" s="355" t="s">
        <v>118</v>
      </c>
      <c r="L15" s="345" t="s">
        <v>103</v>
      </c>
      <c r="M15" s="346"/>
      <c r="N15" s="357" t="s">
        <v>29</v>
      </c>
      <c r="O15" s="355" t="s">
        <v>118</v>
      </c>
      <c r="P15" s="353" t="s">
        <v>29</v>
      </c>
      <c r="Q15" s="355" t="s">
        <v>118</v>
      </c>
      <c r="R15" s="345" t="s">
        <v>29</v>
      </c>
      <c r="S15" s="350"/>
      <c r="T15" s="359" t="s">
        <v>103</v>
      </c>
      <c r="U15" s="326" t="s">
        <v>29</v>
      </c>
      <c r="V15" s="345" t="s">
        <v>29</v>
      </c>
      <c r="W15" s="350"/>
      <c r="X15" s="345" t="s">
        <v>29</v>
      </c>
      <c r="Y15" s="350"/>
    </row>
    <row r="16" spans="2:25" ht="13.5" customHeight="1">
      <c r="B16" s="89"/>
      <c r="C16" s="89"/>
      <c r="D16" s="309"/>
      <c r="E16" s="306"/>
      <c r="F16" s="347"/>
      <c r="G16" s="348"/>
      <c r="H16" s="351"/>
      <c r="I16" s="352"/>
      <c r="J16" s="354"/>
      <c r="K16" s="356"/>
      <c r="L16" s="347"/>
      <c r="M16" s="348"/>
      <c r="N16" s="358"/>
      <c r="O16" s="356"/>
      <c r="P16" s="354"/>
      <c r="Q16" s="356"/>
      <c r="R16" s="347"/>
      <c r="S16" s="352"/>
      <c r="T16" s="360"/>
      <c r="U16" s="327"/>
      <c r="V16" s="347"/>
      <c r="W16" s="352"/>
      <c r="X16" s="347"/>
      <c r="Y16" s="352"/>
    </row>
    <row r="17" spans="2:25" ht="13.5" customHeight="1">
      <c r="B17" s="318" t="s">
        <v>119</v>
      </c>
      <c r="C17" s="319"/>
      <c r="D17" s="319"/>
      <c r="E17" s="319"/>
      <c r="F17" s="319"/>
      <c r="G17" s="320"/>
      <c r="H17" s="318" t="s">
        <v>120</v>
      </c>
      <c r="I17" s="319"/>
      <c r="J17" s="319"/>
      <c r="K17" s="319"/>
      <c r="L17" s="319"/>
      <c r="M17" s="320"/>
      <c r="N17" s="318" t="s">
        <v>121</v>
      </c>
      <c r="O17" s="319"/>
      <c r="P17" s="319"/>
      <c r="Q17" s="319"/>
      <c r="R17" s="319"/>
      <c r="S17" s="320"/>
      <c r="T17" s="318" t="s">
        <v>122</v>
      </c>
      <c r="U17" s="319"/>
      <c r="V17" s="319"/>
      <c r="W17" s="319"/>
      <c r="X17" s="319"/>
      <c r="Y17" s="320"/>
    </row>
    <row r="18" spans="2:25" ht="13.5" customHeight="1">
      <c r="B18" s="369" t="s">
        <v>103</v>
      </c>
      <c r="C18" s="361" t="s">
        <v>104</v>
      </c>
      <c r="D18" s="346"/>
      <c r="E18" s="349" t="s">
        <v>27</v>
      </c>
      <c r="F18" s="361"/>
      <c r="G18" s="350"/>
      <c r="H18" s="345" t="s">
        <v>104</v>
      </c>
      <c r="I18" s="361"/>
      <c r="J18" s="346"/>
      <c r="K18" s="349" t="s">
        <v>27</v>
      </c>
      <c r="L18" s="361"/>
      <c r="M18" s="350"/>
      <c r="N18" s="345" t="s">
        <v>104</v>
      </c>
      <c r="O18" s="361"/>
      <c r="P18" s="346"/>
      <c r="Q18" s="349" t="s">
        <v>27</v>
      </c>
      <c r="R18" s="361"/>
      <c r="S18" s="350"/>
      <c r="T18" s="345" t="s">
        <v>104</v>
      </c>
      <c r="U18" s="361"/>
      <c r="V18" s="346"/>
      <c r="W18" s="349" t="s">
        <v>27</v>
      </c>
      <c r="X18" s="361"/>
      <c r="Y18" s="350"/>
    </row>
    <row r="19" spans="2:25" ht="13.5" customHeight="1">
      <c r="B19" s="370"/>
      <c r="C19" s="362"/>
      <c r="D19" s="348"/>
      <c r="E19" s="351"/>
      <c r="F19" s="362"/>
      <c r="G19" s="352"/>
      <c r="H19" s="347"/>
      <c r="I19" s="362"/>
      <c r="J19" s="348"/>
      <c r="K19" s="351"/>
      <c r="L19" s="362"/>
      <c r="M19" s="352"/>
      <c r="N19" s="347"/>
      <c r="O19" s="362"/>
      <c r="P19" s="348"/>
      <c r="Q19" s="351"/>
      <c r="R19" s="362"/>
      <c r="S19" s="352"/>
      <c r="T19" s="347"/>
      <c r="U19" s="362"/>
      <c r="V19" s="348"/>
      <c r="W19" s="351"/>
      <c r="X19" s="362"/>
      <c r="Y19" s="352"/>
    </row>
    <row r="20" spans="2:25" ht="13.5" customHeight="1">
      <c r="B20" s="363" t="s">
        <v>123</v>
      </c>
      <c r="C20" s="364"/>
      <c r="D20" s="364"/>
      <c r="E20" s="364"/>
      <c r="F20" s="364"/>
      <c r="G20" s="364"/>
      <c r="H20" s="364"/>
      <c r="I20" s="364"/>
      <c r="J20" s="364"/>
      <c r="K20" s="364"/>
      <c r="L20" s="364"/>
      <c r="M20" s="364"/>
      <c r="N20" s="364"/>
      <c r="O20" s="364"/>
      <c r="P20" s="364"/>
      <c r="Q20" s="364"/>
      <c r="R20" s="364"/>
      <c r="S20" s="364"/>
      <c r="T20" s="364"/>
      <c r="U20" s="364"/>
      <c r="V20" s="364"/>
      <c r="W20" s="364"/>
      <c r="X20" s="364"/>
      <c r="Y20" s="365"/>
    </row>
    <row r="21" spans="2:25" ht="13.5" customHeight="1">
      <c r="B21" s="363"/>
      <c r="C21" s="364"/>
      <c r="D21" s="364"/>
      <c r="E21" s="364"/>
      <c r="F21" s="364"/>
      <c r="G21" s="364"/>
      <c r="H21" s="364"/>
      <c r="I21" s="364"/>
      <c r="J21" s="364"/>
      <c r="K21" s="364"/>
      <c r="L21" s="364"/>
      <c r="M21" s="364"/>
      <c r="N21" s="364"/>
      <c r="O21" s="364"/>
      <c r="P21" s="364"/>
      <c r="Q21" s="364"/>
      <c r="R21" s="364"/>
      <c r="S21" s="364"/>
      <c r="T21" s="364"/>
      <c r="U21" s="364"/>
      <c r="V21" s="364"/>
      <c r="W21" s="364"/>
      <c r="X21" s="364"/>
      <c r="Y21" s="365"/>
    </row>
    <row r="22" spans="2:25" ht="13.5" customHeight="1">
      <c r="B22" s="366"/>
      <c r="C22" s="367"/>
      <c r="D22" s="367"/>
      <c r="E22" s="367"/>
      <c r="F22" s="367"/>
      <c r="G22" s="367"/>
      <c r="H22" s="367"/>
      <c r="I22" s="367"/>
      <c r="J22" s="367"/>
      <c r="K22" s="367"/>
      <c r="L22" s="367"/>
      <c r="M22" s="367"/>
      <c r="N22" s="367"/>
      <c r="O22" s="367"/>
      <c r="P22" s="367"/>
      <c r="Q22" s="367"/>
      <c r="R22" s="367"/>
      <c r="S22" s="367"/>
      <c r="T22" s="367"/>
      <c r="U22" s="367"/>
      <c r="V22" s="367"/>
      <c r="W22" s="367"/>
      <c r="X22" s="367"/>
      <c r="Y22" s="368"/>
    </row>
  </sheetData>
  <sheetProtection sheet="1" selectLockedCells="1"/>
  <mergeCells count="69">
    <mergeCell ref="Q18:S19"/>
    <mergeCell ref="T18:V19"/>
    <mergeCell ref="W18:Y19"/>
    <mergeCell ref="B20:Y22"/>
    <mergeCell ref="B18:B19"/>
    <mergeCell ref="C18:D19"/>
    <mergeCell ref="E18:G19"/>
    <mergeCell ref="H18:J19"/>
    <mergeCell ref="K18:M19"/>
    <mergeCell ref="N18:P19"/>
    <mergeCell ref="X15:Y16"/>
    <mergeCell ref="B17:G17"/>
    <mergeCell ref="H17:M17"/>
    <mergeCell ref="N17:S17"/>
    <mergeCell ref="T17:Y17"/>
    <mergeCell ref="N15:N16"/>
    <mergeCell ref="O15:O16"/>
    <mergeCell ref="P15:P16"/>
    <mergeCell ref="Q15:Q16"/>
    <mergeCell ref="R15:S16"/>
    <mergeCell ref="T15:T16"/>
    <mergeCell ref="L14:O14"/>
    <mergeCell ref="P14:Q14"/>
    <mergeCell ref="T14:U14"/>
    <mergeCell ref="V14:W14"/>
    <mergeCell ref="D15:E16"/>
    <mergeCell ref="F15:G16"/>
    <mergeCell ref="H15:I16"/>
    <mergeCell ref="J15:J16"/>
    <mergeCell ref="K15:K16"/>
    <mergeCell ref="L15:M16"/>
    <mergeCell ref="U15:U16"/>
    <mergeCell ref="V15:W16"/>
    <mergeCell ref="V10:W11"/>
    <mergeCell ref="X10:Y11"/>
    <mergeCell ref="B12:E13"/>
    <mergeCell ref="F12:I14"/>
    <mergeCell ref="J12:Q13"/>
    <mergeCell ref="R12:S14"/>
    <mergeCell ref="T12:W13"/>
    <mergeCell ref="X12:Y14"/>
    <mergeCell ref="D14:E14"/>
    <mergeCell ref="J14:K14"/>
    <mergeCell ref="L10:M11"/>
    <mergeCell ref="N10:O11"/>
    <mergeCell ref="P10:P11"/>
    <mergeCell ref="Q10:R11"/>
    <mergeCell ref="S10:T11"/>
    <mergeCell ref="U10:U11"/>
    <mergeCell ref="B9:E9"/>
    <mergeCell ref="F9:J9"/>
    <mergeCell ref="K9:O9"/>
    <mergeCell ref="P9:T9"/>
    <mergeCell ref="U9:Y9"/>
    <mergeCell ref="B10:E11"/>
    <mergeCell ref="F10:F11"/>
    <mergeCell ref="G10:H11"/>
    <mergeCell ref="I10:J11"/>
    <mergeCell ref="K10:K11"/>
    <mergeCell ref="B2:Y2"/>
    <mergeCell ref="B3:C8"/>
    <mergeCell ref="D3:D8"/>
    <mergeCell ref="E3:N8"/>
    <mergeCell ref="O3:Y3"/>
    <mergeCell ref="O4:Y4"/>
    <mergeCell ref="O5:Y5"/>
    <mergeCell ref="O6:O8"/>
    <mergeCell ref="P6:Y6"/>
    <mergeCell ref="P7:Y8"/>
  </mergeCells>
  <phoneticPr fontId="2"/>
  <pageMargins left="0.70866141732283472" right="0.70866141732283472" top="0.74803149606299213" bottom="0.74803149606299213" header="0.31496062992125984" footer="0.31496062992125984"/>
  <pageSetup paperSize="9" scale="95" orientation="portrait" cellComments="asDisplayed"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0E49-C1A1-4A51-93E9-0BFE8FB9FAD4}">
  <dimension ref="A1"/>
  <sheetViews>
    <sheetView view="pageBreakPreview" topLeftCell="A34" zoomScaleNormal="100" zoomScaleSheetLayoutView="100" workbookViewId="0">
      <selection activeCell="G52" sqref="G52"/>
    </sheetView>
  </sheetViews>
  <sheetFormatPr defaultRowHeight="18"/>
  <cols>
    <col min="1" max="1" width="5" customWidth="1"/>
  </cols>
  <sheetData/>
  <sheetProtection sheet="1" selectLockedCells="1"/>
  <phoneticPr fontId="2"/>
  <pageMargins left="0.7" right="0.7" top="0.75" bottom="0.75" header="0.3" footer="0.3"/>
  <pageSetup paperSize="9" scale="81" orientation="portrait" r:id="rId1"/>
  <rowBreaks count="1" manualBreakCount="1">
    <brk id="4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注意事項</vt:lpstr>
      <vt:lpstr>R７年度綾部市国保料試算シート</vt:lpstr>
      <vt:lpstr>計算式</vt:lpstr>
      <vt:lpstr>源泉徴収票の見方</vt:lpstr>
      <vt:lpstr>確定申告書の見方</vt:lpstr>
      <vt:lpstr>確定申告書の見方!Print_Area</vt:lpstr>
      <vt:lpstr>計算式!Print_Area</vt:lpstr>
      <vt:lpstr>源泉徴収票の見方!Print_Area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 彩乃</dc:creator>
  <cp:lastModifiedBy>15368</cp:lastModifiedBy>
  <cp:lastPrinted>2024-06-13T09:30:11Z</cp:lastPrinted>
  <dcterms:created xsi:type="dcterms:W3CDTF">2022-01-24T09:12:20Z</dcterms:created>
  <dcterms:modified xsi:type="dcterms:W3CDTF">2025-06-12T06:06:55Z</dcterms:modified>
</cp:coreProperties>
</file>